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2.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4.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14.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8.xml" ContentType="application/vnd.openxmlformats-officedocument.spreadsheetml.revisionLog+xml"/>
  <Override PartName="/xl/revisions/revisionLog12.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1.xml" ContentType="application/vnd.openxmlformats-officedocument.spreadsheetml.revisionLog+xml"/>
  <Override PartName="/xl/revisions/revisionLog2.xml" ContentType="application/vnd.openxmlformats-officedocument.spreadsheetml.revisionLog+xml"/>
  <Override PartName="/xl/revisions/revisionLog6.xml" ContentType="application/vnd.openxmlformats-officedocument.spreadsheetml.revisionLog+xml"/>
  <Override PartName="/xl/revisions/revisionLog10.xml" ContentType="application/vnd.openxmlformats-officedocument.spreadsheetml.revisionLog+xml"/>
  <Override PartName="/xl/revisions/revisionLog5.xml" ContentType="application/vnd.openxmlformats-officedocument.spreadsheetml.revisionLog+xml"/>
  <Override PartName="/xl/revisions/revisionLog9.xml" ContentType="application/vnd.openxmlformats-officedocument.spreadsheetml.revisionLog+xml"/>
  <Override PartName="/xl/revisions/revisionLog4.xml" ContentType="application/vnd.openxmlformats-officedocument.spreadsheetml.revisionLog+xml"/>
  <Override PartName="/xl/revisions/revisionLog1.xml" ContentType="application/vnd.openxmlformats-officedocument.spreadsheetml.revisionLog+xml"/>
  <Override PartName="/xl/revisions/revisionLog13.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SWG March 16th\"/>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'!$A$1:$K$149</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'!$A$1:$K$149</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'!$93:$96</definedName>
    <definedName name="Z_CDDD1BF2_7147_4473_B186_680AA7EBC2A1_.wvu.Cols" localSheetId="2" hidden="1">'Exhibit A'!$V:$AC</definedName>
    <definedName name="Z_CDDD1BF2_7147_4473_B186_680AA7EBC2A1_.wvu.Cols" localSheetId="1" hidden="1">'FY19 Project Reporting'!$V:$AD</definedName>
    <definedName name="Z_CDDD1BF2_7147_4473_B186_680AA7EBC2A1_.wvu.FilterData" localSheetId="0" hidden="1">'FY19 Project Request '!$X$3:$X$12</definedName>
    <definedName name="Z_CDDD1BF2_7147_4473_B186_680AA7EBC2A1_.wvu.PrintArea" localSheetId="2" hidden="1">'Exhibit A'!$A$1:$K$44</definedName>
    <definedName name="Z_CDDD1BF2_7147_4473_B186_680AA7EBC2A1_.wvu.PrintArea" localSheetId="5" hidden="1">'FY19 Exhibit A - Draft'!$A$1:$K$63</definedName>
    <definedName name="Z_CDDD1BF2_7147_4473_B186_680AA7EBC2A1_.wvu.PrintArea" localSheetId="1" hidden="1">'FY19 Project Reporting'!$A$1:$K$65</definedName>
    <definedName name="Z_CDDD1BF2_7147_4473_B186_680AA7EBC2A1_.wvu.PrintArea" localSheetId="0" hidden="1">'FY19 Project Request '!$A$1:$K$149</definedName>
    <definedName name="Z_CDDD1BF2_7147_4473_B186_680AA7EBC2A1_.wvu.PrintArea" localSheetId="4" hidden="1">'ProjReport Instructions'!$A$1:$C$62</definedName>
    <definedName name="Z_CDDD1BF2_7147_4473_B186_680AA7EBC2A1_.wvu.PrintArea" localSheetId="3" hidden="1">'ProjReq Instructions'!$A$1:$C$192</definedName>
    <definedName name="Z_CDDD1BF2_7147_4473_B186_680AA7EBC2A1_.wvu.Rows" localSheetId="6" hidden="1">'End-of-Year Reconciliations'!$22:$27</definedName>
    <definedName name="Z_CDDD1BF2_7147_4473_B186_680AA7EBC2A1_.wvu.Rows" localSheetId="0" hidden="1">'FY19 Project Request '!$55:$58,'FY19 Project Request '!$77:$79,'FY19 Project Request '!$93:$96,'FY19 Project Request '!$131:$141</definedName>
    <definedName name="Z_E4FCC8BB_C0B4_400B_AC63_5FBAF2D4221B_.wvu.Cols" localSheetId="2" hidden="1">'Exhibit A'!$V:$AC</definedName>
    <definedName name="Z_E4FCC8BB_C0B4_400B_AC63_5FBAF2D4221B_.wvu.Cols" localSheetId="1" hidden="1">'FY19 Project Reporting'!$V:$AD</definedName>
    <definedName name="Z_E4FCC8BB_C0B4_400B_AC63_5FBAF2D4221B_.wvu.FilterData" localSheetId="0" hidden="1">'FY19 Project Request '!$X$3:$X$12</definedName>
    <definedName name="Z_E4FCC8BB_C0B4_400B_AC63_5FBAF2D4221B_.wvu.PrintArea" localSheetId="2" hidden="1">'Exhibit A'!$A$1:$K$44</definedName>
    <definedName name="Z_E4FCC8BB_C0B4_400B_AC63_5FBAF2D4221B_.wvu.PrintArea" localSheetId="5" hidden="1">'FY19 Exhibit A - Draft'!$A$1:$K$63</definedName>
    <definedName name="Z_E4FCC8BB_C0B4_400B_AC63_5FBAF2D4221B_.wvu.PrintArea" localSheetId="1" hidden="1">'FY19 Project Reporting'!$A$1:$K$65</definedName>
    <definedName name="Z_E4FCC8BB_C0B4_400B_AC63_5FBAF2D4221B_.wvu.PrintArea" localSheetId="0" hidden="1">'FY19 Project Request '!$A$1:$K$149</definedName>
    <definedName name="Z_E4FCC8BB_C0B4_400B_AC63_5FBAF2D4221B_.wvu.PrintArea" localSheetId="4" hidden="1">'ProjReport Instructions'!$A$1:$C$62</definedName>
    <definedName name="Z_E4FCC8BB_C0B4_400B_AC63_5FBAF2D4221B_.wvu.PrintArea" localSheetId="3" hidden="1">'ProjReq Instructions'!$A$1:$C$192</definedName>
    <definedName name="Z_E4FCC8BB_C0B4_400B_AC63_5FBAF2D4221B_.wvu.Rows" localSheetId="6" hidden="1">'End-of-Year Reconciliations'!$22:$27</definedName>
    <definedName name="Z_E4FCC8BB_C0B4_400B_AC63_5FBAF2D4221B_.wvu.Rows" localSheetId="0" hidden="1">'FY19 Project Request '!$55:$58,'FY19 Project Request '!$77:$79,'FY19 Project Request '!$93:$96,'FY19 Project Request '!$131:$141</definedName>
    <definedName name="Z_FEF1506F_6F82_40B0_A457_59C910FA4B02_.wvu.Cols" localSheetId="2" hidden="1">'Exhibit A'!$V:$AC</definedName>
    <definedName name="Z_FEF1506F_6F82_40B0_A457_59C910FA4B02_.wvu.Cols" localSheetId="1" hidden="1">'FY19 Project Reporting'!$V:$AD</definedName>
    <definedName name="Z_FEF1506F_6F82_40B0_A457_59C910FA4B02_.wvu.FilterData" localSheetId="0" hidden="1">'FY19 Project Request '!$X$3:$X$12</definedName>
    <definedName name="Z_FEF1506F_6F82_40B0_A457_59C910FA4B02_.wvu.PrintArea" localSheetId="2" hidden="1">'Exhibit A'!$A$1:$K$44</definedName>
    <definedName name="Z_FEF1506F_6F82_40B0_A457_59C910FA4B02_.wvu.PrintArea" localSheetId="5" hidden="1">'FY19 Exhibit A - Draft'!$A$1:$K$63</definedName>
    <definedName name="Z_FEF1506F_6F82_40B0_A457_59C910FA4B02_.wvu.PrintArea" localSheetId="1" hidden="1">'FY19 Project Reporting'!$A$1:$K$65</definedName>
    <definedName name="Z_FEF1506F_6F82_40B0_A457_59C910FA4B02_.wvu.PrintArea" localSheetId="0" hidden="1">'FY19 Project Request '!$A$1:$K$149</definedName>
    <definedName name="Z_FEF1506F_6F82_40B0_A457_59C910FA4B02_.wvu.PrintArea" localSheetId="4" hidden="1">'ProjReport Instructions'!$A$1:$C$62</definedName>
    <definedName name="Z_FEF1506F_6F82_40B0_A457_59C910FA4B02_.wvu.PrintArea" localSheetId="3" hidden="1">'ProjReq Instructions'!$A$1:$C$192</definedName>
    <definedName name="Z_FEF1506F_6F82_40B0_A457_59C910FA4B02_.wvu.Rows" localSheetId="6" hidden="1">'End-of-Year Reconciliations'!$22:$27</definedName>
    <definedName name="Z_FEF1506F_6F82_40B0_A457_59C910FA4B02_.wvu.Rows" localSheetId="0" hidden="1">'FY19 Project Request '!$55:$58,'FY19 Project Request '!$77:$79,'FY19 Project Request '!$93:$96,'FY19 Project Request '!$131:$141</definedName>
  </definedNames>
  <calcPr calcId="152511"/>
  <customWorkbookViews>
    <customWorkbookView name="Lenovo User - Personal View" guid="{CDDD1BF2-7147-4473-B186-680AA7EBC2A1}" mergeInterval="0" personalView="1" xWindow="1956" yWindow="80" windowWidth="1440" windowHeight="850" activeSheetId="1"/>
    <customWorkbookView name="Matthew Frazier - Personal View" guid="{E4FCC8BB-C0B4-400B-AC63-5FBAF2D4221B}" mergeInterval="0" personalView="1" maximized="1" xWindow="1272" yWindow="-8" windowWidth="1296" windowHeight="1040" activeSheetId="1"/>
    <customWorkbookView name="Praveen Sridharan - Personal View" guid="{A57ED495-A8F1-41AA-920B-D492B709C260}" mergeInterval="0" personalView="1" maximized="1" xWindow="-8" yWindow="-8" windowWidth="1936" windowHeight="1056" activeSheetId="1"/>
    <customWorkbookView name="Erik Landfried - Personal View" guid="{FEF1506F-6F82-40B0-A457-59C910FA4B02}" mergeInterval="0" personalView="1" maximized="1" xWindow="-9" yWindow="-9" windowWidth="1938" windowHeight="105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17" i="1" l="1"/>
  <c r="E101" i="1" s="1"/>
  <c r="D117" i="1"/>
  <c r="D101" i="1"/>
  <c r="I140" i="1" l="1"/>
  <c r="H140" i="1"/>
  <c r="G140" i="1"/>
  <c r="F140" i="1"/>
  <c r="E140" i="1"/>
  <c r="D140"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9" i="1"/>
  <c r="J138" i="1"/>
  <c r="J137" i="1"/>
  <c r="J136" i="1"/>
  <c r="J135" i="1"/>
  <c r="J134" i="1"/>
  <c r="J98" i="1"/>
  <c r="J140" i="1" l="1"/>
  <c r="C31" i="6"/>
  <c r="C30" i="6"/>
  <c r="C29" i="6"/>
  <c r="Y21" i="6"/>
  <c r="X21" i="6"/>
  <c r="G21" i="6"/>
  <c r="D21" i="6"/>
  <c r="B21" i="6"/>
  <c r="Y20" i="6"/>
  <c r="X20" i="6"/>
  <c r="Y19" i="6"/>
  <c r="X19" i="6"/>
  <c r="Y18" i="6"/>
  <c r="X18" i="6"/>
  <c r="Y17" i="6"/>
  <c r="X17" i="6"/>
  <c r="E17" i="6"/>
  <c r="B16" i="6"/>
  <c r="F13" i="6"/>
  <c r="D13" i="6"/>
  <c r="B13" i="6"/>
  <c r="F11" i="6"/>
  <c r="F10" i="6"/>
  <c r="D10" i="6"/>
  <c r="B10" i="6"/>
  <c r="F117" i="1" l="1"/>
  <c r="F118" i="1"/>
  <c r="I91" i="1"/>
  <c r="H91" i="1"/>
  <c r="G91" i="1"/>
  <c r="F91" i="1"/>
  <c r="E91" i="1"/>
  <c r="D91" i="1"/>
  <c r="F101" i="1" l="1"/>
  <c r="F119" i="1"/>
  <c r="E119" i="1"/>
  <c r="E100" i="1" l="1"/>
  <c r="E99" i="1"/>
  <c r="F99" i="1"/>
  <c r="F100" i="1"/>
  <c r="B2" i="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19" i="1" l="1"/>
  <c r="D99" i="1" l="1"/>
  <c r="D100" i="1"/>
  <c r="D124" i="1"/>
  <c r="D128" i="1" s="1"/>
  <c r="F102" i="1"/>
  <c r="E102" i="1"/>
  <c r="D102" i="1" l="1"/>
  <c r="D92" i="1" s="1"/>
  <c r="G117" i="1"/>
  <c r="D103" i="1" l="1"/>
  <c r="H117" i="1"/>
  <c r="E124" i="1"/>
  <c r="E128" i="1" s="1"/>
  <c r="I117" i="1" l="1"/>
  <c r="D48" i="6"/>
  <c r="G113" i="1"/>
  <c r="I113" i="1"/>
  <c r="H113" i="1"/>
  <c r="F127" i="1" l="1"/>
  <c r="F126" i="1"/>
  <c r="F114" i="1"/>
  <c r="F125" i="1"/>
  <c r="G125" i="1" s="1"/>
  <c r="H125" i="1" s="1"/>
  <c r="I125" i="1" s="1"/>
  <c r="F122" i="1"/>
  <c r="G122" i="1" s="1"/>
  <c r="H122" i="1" s="1"/>
  <c r="I122" i="1" s="1"/>
  <c r="F123" i="1"/>
  <c r="G123" i="1" s="1"/>
  <c r="H123" i="1" s="1"/>
  <c r="I123" i="1" s="1"/>
  <c r="F115" i="1"/>
  <c r="F120" i="1"/>
  <c r="G120" i="1" s="1"/>
  <c r="H120" i="1" s="1"/>
  <c r="I120" i="1" s="1"/>
  <c r="F121" i="1"/>
  <c r="G121" i="1" s="1"/>
  <c r="H121" i="1" s="1"/>
  <c r="I121" i="1" s="1"/>
  <c r="E47" i="6"/>
  <c r="D49" i="6"/>
  <c r="G118" i="1"/>
  <c r="G101" i="1" s="1"/>
  <c r="G115" i="1" l="1"/>
  <c r="H115" i="1" s="1"/>
  <c r="I115" i="1" s="1"/>
  <c r="G114" i="1"/>
  <c r="H114" i="1" s="1"/>
  <c r="I114" i="1" s="1"/>
  <c r="J125" i="1"/>
  <c r="G126" i="1"/>
  <c r="H126" i="1" s="1"/>
  <c r="I126" i="1" s="1"/>
  <c r="G127" i="1"/>
  <c r="H127" i="1" s="1"/>
  <c r="I127" i="1" s="1"/>
  <c r="F124" i="1"/>
  <c r="H118" i="1"/>
  <c r="H101" i="1" s="1"/>
  <c r="G119" i="1"/>
  <c r="G99" i="1" l="1"/>
  <c r="G100" i="1"/>
  <c r="J114" i="1"/>
  <c r="J115" i="1"/>
  <c r="J127" i="1"/>
  <c r="G124" i="1"/>
  <c r="G128" i="1" s="1"/>
  <c r="F128" i="1"/>
  <c r="J126" i="1"/>
  <c r="I118" i="1"/>
  <c r="I101" i="1" s="1"/>
  <c r="H119" i="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H100" i="1" l="1"/>
  <c r="H99" i="1"/>
  <c r="G102" i="1"/>
  <c r="G92" i="1" s="1"/>
  <c r="G103" i="1" s="1"/>
  <c r="H124" i="1"/>
  <c r="H128" i="1" s="1"/>
  <c r="I82" i="9"/>
  <c r="I119" i="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F92" i="1"/>
  <c r="E92" i="1"/>
  <c r="E103" i="1" s="1"/>
  <c r="I100" i="1" l="1"/>
  <c r="I99" i="1"/>
  <c r="J99" i="1" s="1"/>
  <c r="J119" i="1"/>
  <c r="H102" i="1"/>
  <c r="H92" i="1" s="1"/>
  <c r="H103" i="1" s="1"/>
  <c r="D60" i="2"/>
  <c r="E59" i="2" s="1"/>
  <c r="F103" i="1"/>
  <c r="D57" i="6"/>
  <c r="I46" i="9"/>
  <c r="I63" i="10"/>
  <c r="I124" i="1"/>
  <c r="I62" i="10"/>
  <c r="I71" i="10"/>
  <c r="I77" i="10" s="1"/>
  <c r="I78" i="10" s="1"/>
  <c r="D64" i="10"/>
  <c r="E60" i="10"/>
  <c r="E71" i="11"/>
  <c r="D77" i="11"/>
  <c r="D64" i="11"/>
  <c r="E60" i="11"/>
  <c r="I62" i="11"/>
  <c r="I63" i="11"/>
  <c r="I67" i="9"/>
  <c r="I60" i="9"/>
  <c r="I59" i="9"/>
  <c r="D70" i="9"/>
  <c r="E66" i="9"/>
  <c r="F83" i="9"/>
  <c r="G77" i="9"/>
  <c r="I68" i="9"/>
  <c r="J100" i="1" l="1"/>
  <c r="I102" i="1"/>
  <c r="J102" i="1" s="1"/>
  <c r="J101" i="1"/>
  <c r="J13" i="3"/>
  <c r="I128" i="1"/>
  <c r="J124" i="1"/>
  <c r="J128" i="1" s="1"/>
  <c r="J11" i="1" s="1"/>
  <c r="D61" i="2"/>
  <c r="D58" i="6"/>
  <c r="E56" i="6"/>
  <c r="E64" i="10"/>
  <c r="F60" i="10"/>
  <c r="E77" i="11"/>
  <c r="E64" i="11"/>
  <c r="F60" i="11"/>
  <c r="H77" i="9"/>
  <c r="H83" i="9" s="1"/>
  <c r="G83" i="9"/>
  <c r="E70" i="9"/>
  <c r="F66" i="9"/>
  <c r="I92" i="1" l="1"/>
  <c r="J15" i="1" s="1"/>
  <c r="J14" i="3" s="1"/>
  <c r="D50" i="2"/>
  <c r="G60" i="10"/>
  <c r="F64" i="10"/>
  <c r="G60" i="11"/>
  <c r="F64" i="11"/>
  <c r="F77" i="11"/>
  <c r="G66" i="9"/>
  <c r="F70" i="9"/>
  <c r="I77" i="9"/>
  <c r="I83" i="9" s="1"/>
  <c r="J12" i="1" l="1"/>
  <c r="J11" i="3" s="1"/>
  <c r="E49" i="2"/>
  <c r="D51" i="2"/>
  <c r="J10" i="3"/>
  <c r="J10" i="2"/>
  <c r="J10" i="6"/>
  <c r="J14" i="6"/>
  <c r="J14" i="2"/>
  <c r="J13" i="2"/>
  <c r="J13" i="6"/>
  <c r="I103" i="1"/>
  <c r="J92" i="1"/>
  <c r="J103" i="1" s="1"/>
  <c r="G64" i="10"/>
  <c r="H60" i="10"/>
  <c r="H64" i="10" s="1"/>
  <c r="G77" i="11"/>
  <c r="H71" i="11"/>
  <c r="H60" i="11"/>
  <c r="G64" i="11"/>
  <c r="I84" i="9"/>
  <c r="G70" i="9"/>
  <c r="H66" i="9"/>
  <c r="J11" i="2" l="1"/>
  <c r="J11" i="6"/>
  <c r="I60" i="10"/>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Lenovo User</author>
  </authors>
  <commentList>
    <comment ref="D100" authorId="0" guid="{280EE25A-FDF7-4E3E-940D-EEBA73C703A7}" shapeId="0">
      <text>
        <r>
          <rPr>
            <b/>
            <sz val="9"/>
            <color indexed="81"/>
            <rFont val="Tahoma"/>
            <family val="2"/>
          </rPr>
          <t>Lenovo User:</t>
        </r>
        <r>
          <rPr>
            <sz val="9"/>
            <color indexed="81"/>
            <rFont val="Tahoma"/>
            <family val="2"/>
          </rPr>
          <t xml:space="preserve">
Farebox is 15% in Plan
</t>
        </r>
      </text>
    </comment>
  </commentList>
</comments>
</file>

<file path=xl/comments2.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3.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5.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7.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<sst xmlns="http://schemas.openxmlformats.org/spreadsheetml/2006/main" count="725" uniqueCount="386">
  <si>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</si>
  <si>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</si>
  <si>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</si>
  <si>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</si>
  <si>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</si>
  <si>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</si>
  <si>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</si>
  <si>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</si>
  <si>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</si>
  <si>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</si>
  <si>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</si>
  <si>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</si>
  <si>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</si>
  <si>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</si>
  <si>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</si>
  <si>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</si>
  <si>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</si>
  <si>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</si>
  <si>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</si>
  <si>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</si>
  <si>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</si>
  <si>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</si>
  <si>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</si>
  <si>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</si>
  <si>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</si>
  <si>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</si>
  <si>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</si>
  <si>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</si>
  <si>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</si>
  <si>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</si>
  <si>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</si>
  <si>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</si>
  <si>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</si>
  <si>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</si>
  <si>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</si>
  <si>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</si>
  <si>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</si>
  <si>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</si>
  <si>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</si>
  <si>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</si>
  <si>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</si>
  <si>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</si>
  <si>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</si>
  <si>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</si>
  <si>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</si>
  <si>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</si>
  <si>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</si>
  <si>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</si>
  <si>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</si>
  <si>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</si>
  <si>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</si>
  <si>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</si>
  <si>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</si>
  <si>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</si>
  <si>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</si>
  <si>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</si>
  <si>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</si>
  <si>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</si>
  <si>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</si>
  <si>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</si>
  <si>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</si>
  <si>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</si>
  <si>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</si>
  <si>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</si>
  <si>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</si>
  <si>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</si>
  <si>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</si>
  <si>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</si>
  <si>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</si>
  <si>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</si>
  <si>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</si>
  <si>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</si>
  <si>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</si>
  <si>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</si>
  <si>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</si>
  <si>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</si>
  <si>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</si>
  <si>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</si>
  <si>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</si>
  <si>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</si>
  <si>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</si>
  <si>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</si>
  <si>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</si>
  <si>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</si>
  <si>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</si>
  <si>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</si>
  <si>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</si>
  <si>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</si>
  <si>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</si>
  <si>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</si>
  <si>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</si>
  <si>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</si>
  <si>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</si>
  <si>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</si>
  <si>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</si>
  <si>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(Add notes as appropriate)</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</si>
  <si>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</si>
  <si>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</si>
  <si>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</si>
  <si>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</si>
  <si>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</si>
  <si>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</si>
  <si>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</si>
  <si>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</si>
  <si>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</si>
  <si>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</si>
  <si>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</si>
  <si>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</si>
  <si>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</si>
  <si>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</si>
  <si>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</si>
  <si>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</si>
  <si>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</si>
  <si>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</si>
  <si>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</si>
  <si>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</si>
  <si>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</si>
  <si>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</si>
  <si>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</si>
  <si>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</si>
  <si>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</si>
  <si>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</si>
  <si>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</si>
  <si>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</si>
  <si>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</si>
  <si>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</si>
  <si>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</si>
  <si>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</si>
  <si>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</si>
  <si>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</si>
  <si>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</si>
  <si>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</si>
  <si>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</si>
  <si>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</si>
  <si>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</si>
  <si>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</si>
  <si>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</si>
  <si>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</si>
  <si>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</si>
  <si>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</si>
  <si>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</si>
  <si>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</si>
  <si>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</si>
  <si>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</si>
  <si>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</si>
  <si>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</si>
  <si>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</si>
  <si>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</si>
  <si>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</si>
  <si>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</si>
  <si>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</si>
  <si>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</si>
  <si>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</si>
  <si>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</si>
  <si>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</si>
  <si>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</si>
  <si>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</si>
  <si>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</si>
  <si>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</si>
  <si>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</si>
  <si>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</si>
  <si>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</si>
  <si>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</si>
  <si>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</si>
  <si>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</si>
  <si>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</si>
  <si>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</si>
  <si>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</si>
  <si>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</si>
  <si>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</si>
  <si>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</si>
  <si>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</si>
  <si>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</si>
  <si>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</si>
  <si>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</si>
  <si>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</si>
  <si>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</si>
  <si>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</si>
  <si>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</si>
  <si>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</si>
  <si>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</si>
  <si>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</si>
  <si>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</si>
  <si>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</si>
  <si>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</si>
  <si>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</si>
  <si>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</si>
  <si>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</si>
  <si>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</si>
  <si>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</si>
  <si>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</si>
  <si>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</si>
  <si>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</si>
  <si>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</si>
  <si>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</si>
  <si>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</si>
  <si>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</si>
  <si>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</si>
  <si>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</si>
  <si>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</si>
  <si>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</si>
  <si>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</si>
  <si>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</si>
  <si>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</si>
  <si>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</si>
  <si>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</si>
  <si>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</si>
  <si>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</si>
  <si>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</si>
  <si>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</si>
  <si>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</si>
  <si>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</si>
  <si>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</si>
  <si>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</si>
  <si>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</si>
  <si>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</si>
  <si>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</si>
  <si>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</si>
  <si>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</si>
  <si>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</si>
  <si>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</si>
  <si>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</si>
  <si>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</si>
  <si>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</si>
  <si>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</si>
  <si>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</si>
  <si>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</si>
  <si>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</si>
  <si>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</si>
  <si>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</si>
  <si>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</si>
  <si>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</si>
  <si>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</si>
  <si>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</si>
  <si>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</si>
  <si>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</si>
  <si>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</si>
  <si>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</si>
  <si>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</si>
  <si>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</si>
  <si>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</si>
  <si>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</si>
  <si>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</si>
  <si>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</si>
  <si>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</si>
  <si>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</si>
  <si>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</si>
  <si>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</si>
  <si>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</si>
  <si>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</si>
  <si>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</si>
  <si>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</si>
  <si>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</si>
  <si>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</si>
  <si>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</si>
  <si>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</si>
  <si>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</si>
  <si>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</si>
  <si>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</si>
  <si>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</si>
  <si>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</si>
  <si>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</si>
  <si>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</si>
  <si>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</si>
  <si>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</si>
  <si>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</si>
  <si>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</si>
  <si>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</si>
  <si>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</si>
  <si>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</si>
  <si>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</si>
  <si>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</si>
  <si>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</si>
  <si>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</si>
  <si>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</si>
  <si>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</si>
  <si>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</si>
  <si>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</si>
  <si>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</si>
  <si>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</si>
  <si>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</si>
  <si>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</si>
  <si>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</si>
  <si>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</si>
  <si>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</si>
  <si>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</si>
  <si>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</si>
  <si>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</si>
  <si>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</si>
  <si>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</si>
  <si>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</si>
  <si>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</si>
  <si>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</si>
  <si>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</si>
  <si>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</si>
  <si>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</si>
  <si>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</si>
  <si>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</si>
  <si>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</si>
  <si>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</si>
  <si>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</si>
  <si>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</si>
  <si>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</si>
  <si>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</si>
  <si>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</si>
  <si>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</si>
  <si>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</si>
  <si>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</si>
  <si>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</si>
  <si>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</si>
  <si>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</si>
  <si>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</si>
  <si>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</si>
  <si>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</si>
  <si>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</si>
  <si>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</si>
  <si>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</si>
  <si>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</si>
  <si>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</si>
  <si>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</si>
  <si>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</si>
  <si>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</si>
  <si>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</si>
  <si>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</si>
  <si>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</si>
  <si>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</si>
  <si>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</si>
  <si>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</si>
  <si>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</si>
  <si>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</si>
  <si>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</si>
  <si>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</si>
  <si>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</si>
  <si>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</si>
  <si>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</si>
  <si>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</si>
  <si>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</si>
  <si>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</si>
  <si>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</si>
  <si>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</si>
  <si>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</si>
  <si>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</si>
  <si>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</si>
  <si>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</si>
  <si>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</si>
  <si>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</si>
  <si>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</si>
  <si>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</si>
  <si>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</si>
  <si>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</si>
  <si>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</si>
  <si>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</si>
  <si>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</si>
  <si>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</si>
  <si>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</si>
  <si>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</si>
  <si>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</si>
  <si>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</si>
  <si>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</si>
  <si>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</si>
  <si>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</si>
  <si>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</si>
  <si>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</si>
  <si>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N/A</t>
  </si>
  <si>
    <t>The total number of revenue hours provided through this Tax District investment.</t>
  </si>
  <si>
    <t>From Duke &amp; VA Hospitals to GoRaleigh Station via NC-147, I-40, Wade Ave, and Hillsborough St.</t>
  </si>
  <si>
    <t>Triangle residents who commute between Raleigh and Durham, in either direction.</t>
  </si>
  <si>
    <t>Additional frequency, reduced crowding, and improved reliability.</t>
  </si>
  <si>
    <t>The average number of riders on Routes DRX each weekday.</t>
  </si>
  <si>
    <t>The number of passenger trips provided per revenue hour by Routes DRX.</t>
  </si>
  <si>
    <t>Ridership and on-time performance are expected to increase, and crowding is expected to decrease, once this project is implemented.</t>
  </si>
  <si>
    <t>Vehicles already owned by GoTriangle</t>
  </si>
  <si>
    <t>GoRaleigh Station - Duke &amp; VA Hospitals</t>
  </si>
  <si>
    <t>Duke University, downtown Durham, NC State University, downtown Raleigh</t>
  </si>
  <si>
    <t>GoTriangle will operate this expansion. It will provide additional frequency for passengers, improve on-time performance, and relieve crowding.</t>
  </si>
  <si>
    <t>Farebox Revenue</t>
  </si>
  <si>
    <t xml:space="preserve">   Wake County (incl. farebox &amp; state)</t>
  </si>
  <si>
    <t>5:50 AM - 9:50 AM and 3:10 - 7:10 PM, weekdays only
(project would generally maintain current span)</t>
  </si>
  <si>
    <t>A few revenue hours are available from Wake County funds in the Triangle Tax District to provide limited reliability improvements and overcrowding relief on Route DRX. However, this would not be enough to completely ameliorate reliability issues or provide a meaningful increase in service levels.</t>
  </si>
  <si>
    <t>Enhancements to Route DRX, up to 30-minute peak frequency, were specifically selected as a regional project in the Transit Plan. Unfortunately, improving service to every 30 minutes requires more revenue hours than originally anticipated, and 30-minute service alone is not enough to accommodate the ridership demand on the route.</t>
  </si>
  <si>
    <t>Route DRX would have additional time and trips added, to provide service every 30 minutes or better during AM and PM peak periods. (The "or better" is likely to take the form of 15-20 minute frequencies during the highest-ridership hour of the day.) Currently, frequencies vary between 30 and 45 minutes, which leads to vehicle crowding.
Durham County revenues from the Tax District currently contribute 2.12 revenue hours per day to the route. This project would add 5.50 revenue hours per day, for a total Durham County contribution of 7.62 revenue hours per day. A parallel Wake County contribution would add up to 7.62 revenue hours per day.</t>
  </si>
  <si>
    <t>Every 30 minutes or better</t>
  </si>
  <si>
    <t>39.10 per weekday (5.50 from Durham Co. in this request)</t>
  </si>
  <si>
    <t>Route DRX has consistently been a high-performing route. In FY 2017, it had 460 boardings on the average weekday, and 18.1 boardings per revenue hour - the highest total ridership and productivity of any GoTriangle express route. Continued residential and job growth in downtown Durham, downtown Raleigh, Duke University, and NC State University will increase demand even further. If the full level of investment is made, and ridership per service hour continues at its current rate, Route DRX could grow over the next few years to about 705 boardings per weekday.</t>
  </si>
  <si>
    <t>Durham-Raleigh Express, Additional Frequency</t>
  </si>
  <si>
    <t>The service is proposed to operate for 227 weekdays in FY 2019 and 251 in FY 2020. A full schedule has not been developed, so the exact number of revenue hours is likely to change (but is not likely to increase) by implementation.
Even without this project, Durham County is planned to contribute $64,660 to Route DRX in FY 2019 and $66,780 in FY 2020. 
Farebox recovery is projected to increase over time as ridership grows, from 10% in the first year to 20% in the fifth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</si>
</sst>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47">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38" fillId="12" borderId="17" xfId="2" applyFont="1" applyFill="1" applyBorder="1" applyAlignment="1" applyProtection="1">
      <alignment vertical="center"/>
      <protection locked="0"/>
    </xf>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43" fontId="38" fillId="12" borderId="17" xfId="2" applyNumberFormat="1" applyFont="1" applyFill="1" applyBorder="1" applyProtection="1">
      <protection locked="0"/>
    </xf>
    <xf numFmtId="43" fontId="38" fillId="8" borderId="17" xfId="2" applyNumberFormat="1" applyFont="1" applyFill="1" applyBorder="1"/>
    <xf numFmtId="43" fontId="39" fillId="0" borderId="17" xfId="2" applyNumberFormat="1" applyFont="1" applyFill="1" applyBorder="1" applyAlignment="1">
      <alignment horizontal="center"/>
    </xf>
    <xf numFmtId="166" fontId="38" fillId="12" borderId="32" xfId="1" applyNumberFormat="1" applyFont="1" applyFill="1" applyBorder="1" applyAlignment="1">
      <alignment horizontal="left"/>
    </xf>
    <xf numFmtId="166" fontId="38" fillId="12" borderId="17" xfId="2" applyNumberFormat="1" applyFont="1" applyFill="1" applyBorder="1" applyProtection="1">
      <protection locked="0"/>
    </xf>
    <xf numFmtId="0" fontId="38" fillId="12" borderId="34" xfId="0" applyFont="1" applyFill="1" applyBorder="1" applyAlignment="1">
      <alignment horizontal="left" wrapText="1"/>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8" fillId="12" borderId="17" xfId="0" applyFont="1" applyFill="1" applyBorder="1" applyAlignment="1" applyProtection="1">
      <alignment horizontal="left" vertical="top" wrapText="1"/>
      <protection locked="0"/>
    </xf>
    <xf numFmtId="0" fontId="39" fillId="0" borderId="17" xfId="0" applyFont="1" applyBorder="1" applyAlignment="1">
      <alignment horizontal="left" vertical="center"/>
    </xf>
    <xf numFmtId="14" fontId="38" fillId="12" borderId="17" xfId="0" applyNumberFormat="1" applyFont="1" applyFill="1" applyBorder="1" applyAlignment="1" applyProtection="1">
      <alignment horizontal="left" vertical="top" wrapText="1"/>
      <protection locked="0"/>
    </xf>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0" borderId="17" xfId="0" applyFont="1" applyFill="1" applyBorder="1" applyAlignment="1">
      <alignment horizontal="left" wrapText="1"/>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8" fillId="0" borderId="17" xfId="0" applyFont="1" applyBorder="1" applyAlignment="1">
      <alignment horizontal="left" wrapText="1"/>
    </xf>
    <xf numFmtId="0" fontId="39" fillId="0" borderId="17" xfId="0" applyFont="1" applyBorder="1" applyAlignment="1">
      <alignment horizontal="left" wrapText="1"/>
    </xf>
    <xf numFmtId="0" fontId="39" fillId="7" borderId="0" xfId="0" applyFont="1" applyFill="1" applyBorder="1" applyAlignment="1">
      <alignment horizontal="left" vertical="center" wrapText="1"/>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9" fillId="4" borderId="17" xfId="0" applyFont="1" applyFill="1" applyBorder="1" applyAlignment="1">
      <alignment horizontal="center"/>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7" borderId="0" xfId="0" applyFont="1" applyFill="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Border="1" applyAlignment="1">
      <alignment horizontal="left"/>
    </xf>
    <xf numFmtId="166" fontId="38" fillId="0" borderId="17" xfId="1" applyNumberFormat="1" applyFont="1" applyFill="1" applyBorder="1" applyAlignment="1">
      <alignment horizontal="left"/>
    </xf>
    <xf numFmtId="0" fontId="46" fillId="7" borderId="0" xfId="0" applyFont="1" applyFill="1" applyAlignment="1">
      <alignment horizontal="left" vertical="top" wrapText="1"/>
    </xf>
    <xf numFmtId="0" fontId="44" fillId="7" borderId="0" xfId="0" applyFont="1" applyFill="1" applyBorder="1" applyAlignment="1">
      <alignment horizontal="left" vertical="top" wrapText="1"/>
    </xf>
    <xf numFmtId="0" fontId="39" fillId="4" borderId="17" xfId="0" applyFont="1" applyFill="1" applyBorder="1" applyAlignment="1">
      <alignment horizontal="left" vertical="center"/>
    </xf>
    <xf numFmtId="0" fontId="38" fillId="12" borderId="17" xfId="1" applyNumberFormat="1" applyFont="1" applyFill="1" applyBorder="1" applyAlignment="1" applyProtection="1">
      <alignment horizontal="left" vertical="center" wrapText="1"/>
      <protection locked="0"/>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17"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xf>
    <xf numFmtId="44" fontId="38" fillId="12" borderId="32" xfId="2" applyFont="1" applyFill="1" applyBorder="1" applyAlignment="1" applyProtection="1">
      <alignment horizontal="center"/>
      <protection locked="0"/>
    </xf>
    <xf numFmtId="44" fontId="38" fillId="12" borderId="34" xfId="2" applyFont="1" applyFill="1" applyBorder="1" applyAlignment="1" applyProtection="1">
      <alignment horizontal="center"/>
      <protection locked="0"/>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64" fillId="9" borderId="43" xfId="0" applyFont="1" applyFill="1" applyBorder="1" applyAlignment="1">
      <alignment horizontal="left"/>
    </xf>
    <xf numFmtId="0" fontId="64" fillId="9" borderId="44" xfId="0" applyFont="1" applyFill="1" applyBorder="1" applyAlignment="1">
      <alignment horizontal="left"/>
    </xf>
    <xf numFmtId="0" fontId="39" fillId="4" borderId="32" xfId="0" applyFont="1" applyFill="1" applyBorder="1" applyAlignment="1">
      <alignment horizontal="center"/>
    </xf>
    <xf numFmtId="0" fontId="39" fillId="4" borderId="34" xfId="0" applyFont="1" applyFill="1" applyBorder="1" applyAlignment="1">
      <alignment horizontal="center"/>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3" xfId="0" applyFont="1" applyFill="1" applyBorder="1" applyAlignment="1">
      <alignment horizontal="center"/>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39" fillId="7" borderId="39" xfId="0" applyFont="1" applyFill="1" applyBorder="1" applyAlignment="1">
      <alignment horizontal="center"/>
    </xf>
    <xf numFmtId="0" fontId="39" fillId="7" borderId="40" xfId="0" applyFont="1" applyFill="1" applyBorder="1" applyAlignment="1">
      <alignment horizont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usernames" Target="revisions/userNam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121853.6</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121853.6</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121853.6</c:v>
                </c:pt>
              </c:numCache>
            </c:numRef>
          </c:val>
        </c:ser>
        <c:dLbls>
          <c:showLegendKey val="0"/>
          <c:showVal val="0"/>
          <c:showCatName val="0"/>
          <c:showSerName val="0"/>
          <c:showPercent val="0"/>
          <c:showBubbleSize val="0"/>
        </c:dLbls>
        <c:gapWidth val="150"/>
        <c:overlap val="100"/>
        <c:axId val="577447656"/>
        <c:axId val="577447264"/>
      </c:barChart>
      <c:catAx>
        <c:axId val="57744765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7447264"/>
        <c:crosses val="autoZero"/>
        <c:auto val="1"/>
        <c:lblAlgn val="ctr"/>
        <c:lblOffset val="100"/>
        <c:noMultiLvlLbl val="0"/>
      </c:catAx>
      <c:valAx>
        <c:axId val="57744726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774476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573012912"/>
        <c:axId val="573012520"/>
      </c:barChart>
      <c:catAx>
        <c:axId val="57301291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3012520"/>
        <c:crosses val="autoZero"/>
        <c:auto val="1"/>
        <c:lblAlgn val="ctr"/>
        <c:lblOffset val="100"/>
        <c:noMultiLvlLbl val="0"/>
      </c:catAx>
      <c:valAx>
        <c:axId val="573012520"/>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730129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411640.00000000006</c:v>
                </c:pt>
              </c:numCache>
            </c:numRef>
          </c:val>
        </c:ser>
        <c:dLbls>
          <c:dLblPos val="ctr"/>
          <c:showLegendKey val="0"/>
          <c:showVal val="1"/>
          <c:showCatName val="0"/>
          <c:showSerName val="0"/>
          <c:showPercent val="0"/>
          <c:showBubbleSize val="0"/>
        </c:dLbls>
        <c:gapWidth val="79"/>
        <c:axId val="708529320"/>
        <c:axId val="708529712"/>
      </c:barChart>
      <c:catAx>
        <c:axId val="70852932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708529712"/>
        <c:crosses val="autoZero"/>
        <c:auto val="1"/>
        <c:lblAlgn val="ctr"/>
        <c:lblOffset val="100"/>
        <c:noMultiLvlLbl val="0"/>
      </c:catAx>
      <c:valAx>
        <c:axId val="708529712"/>
        <c:scaling>
          <c:orientation val="minMax"/>
        </c:scaling>
        <c:delete val="1"/>
        <c:axPos val="l"/>
        <c:numFmt formatCode="_(&quot;$&quot;* #,##0_);_(&quot;$&quot;* \(#,##0\);_(&quot;$&quot;* &quot;-&quot;??_);_(@_)" sourceLinked="1"/>
        <c:majorTickMark val="none"/>
        <c:minorTickMark val="none"/>
        <c:tickLblPos val="nextTo"/>
        <c:crossAx val="70852932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708530496"/>
        <c:axId val="708530888"/>
      </c:barChart>
      <c:catAx>
        <c:axId val="70853049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708530888"/>
        <c:crosses val="autoZero"/>
        <c:auto val="1"/>
        <c:lblAlgn val="ctr"/>
        <c:lblOffset val="100"/>
        <c:noMultiLvlLbl val="0"/>
      </c:catAx>
      <c:valAx>
        <c:axId val="708530888"/>
        <c:scaling>
          <c:orientation val="minMax"/>
        </c:scaling>
        <c:delete val="1"/>
        <c:axPos val="l"/>
        <c:numFmt formatCode="_(&quot;$&quot;* #,##0_);_(&quot;$&quot;* \(#,##0\);_(&quot;$&quot;* &quot;-&quot;??_);_(@_)" sourceLinked="1"/>
        <c:majorTickMark val="none"/>
        <c:minorTickMark val="none"/>
        <c:tickLblPos val="nextTo"/>
        <c:crossAx val="70853049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-446707.99999999994</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checked="Checked"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checked="Checked"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fmlaLink="$X$106"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fmlaLink="$X$105"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checked="Checked"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42540" y="9227483"/>
              <a:ext cx="2406642" cy="205216"/>
              <a:chOff x="5533129" y="9125368"/>
              <a:chExt cx="2403102" cy="204097"/>
            </a:xfrm>
          </xdr:grpSpPr>
          <xdr:sp macro="" textlink="">
            <xdr:nvSpPr>
              <xdr:cNvPr id="2075" name="Check Box 27" hidden="1">
                <a:extLst>
                  <a:ext uri="{63B3BB69-23CF-44E3-9099-C40C66FF867C}">
                    <a14:compatExt spid="_x0000_s2075"/>
                  </a:ext>
                </a:extLst>
              </xdr:cNvPr>
              <xdr:cNvSpPr/>
            </xdr:nvSpPr>
            <xdr:spPr bwMode="auto">
              <a:xfrm>
                <a:off x="6831175" y="9125429"/>
                <a:ext cx="1105056"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29" y="9125368"/>
                <a:ext cx="1097167"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93266" y="8873378"/>
              <a:ext cx="4754170" cy="180975"/>
              <a:chOff x="4372803" y="8739395"/>
              <a:chExt cx="4743455"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4"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8491" y="6632201"/>
              <a:ext cx="4897931" cy="1307727"/>
              <a:chOff x="4269171" y="6512801"/>
              <a:chExt cx="4880929" cy="1306557"/>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1"/>
                <a:ext cx="1497677" cy="22859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5244" y="10727391"/>
              <a:ext cx="3350179" cy="161925"/>
              <a:chOff x="5305241" y="10346375"/>
              <a:chExt cx="3350182" cy="161925"/>
            </a:xfrm>
          </xdr:grpSpPr>
          <xdr:sp macro="" textlink="">
            <xdr:nvSpPr>
              <xdr:cNvPr id="2113" name="Check Box 65" hidden="1">
                <a:extLst>
                  <a:ext uri="{63B3BB69-23CF-44E3-9099-C40C66FF867C}">
                    <a14:compatExt spid="_x0000_s2113"/>
                  </a:ext>
                </a:extLst>
              </xdr:cNvPr>
              <xdr:cNvSpPr/>
            </xdr:nvSpPr>
            <xdr:spPr bwMode="auto">
              <a:xfrm>
                <a:off x="5305241"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4" y="10346375"/>
                <a:ext cx="1620369"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6768353" y="24295054"/>
              <a:ext cx="2411543" cy="205916"/>
              <a:chOff x="5533087" y="9125426"/>
              <a:chExt cx="2403119" cy="204102"/>
            </a:xfrm>
          </xdr:grpSpPr>
          <xdr:sp macro="" textlink="">
            <xdr:nvSpPr>
              <xdr:cNvPr id="2117" name="Check Box 69" hidden="1">
                <a:extLst>
                  <a:ext uri="{63B3BB69-23CF-44E3-9099-C40C66FF867C}">
                    <a14:compatExt spid="_x0000_s2117"/>
                  </a:ext>
                </a:extLst>
              </xdr:cNvPr>
              <xdr:cNvSpPr/>
            </xdr:nvSpPr>
            <xdr:spPr bwMode="auto">
              <a:xfrm>
                <a:off x="6831154" y="9125491"/>
                <a:ext cx="1105052"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7" y="9125426"/>
                <a:ext cx="1097156"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2.xml"/><Relationship Id="rId3" Type="http://schemas.openxmlformats.org/officeDocument/2006/relationships/revisionLog" Target="revisionLog3.xml"/><Relationship Id="rId7" Type="http://schemas.openxmlformats.org/officeDocument/2006/relationships/revisionLog" Target="revisionLog7.xml"/><Relationship Id="rId12" Type="http://schemas.openxmlformats.org/officeDocument/2006/relationships/revisionLog" Target="revisionLog11.xml"/><Relationship Id="rId2" Type="http://schemas.openxmlformats.org/officeDocument/2006/relationships/revisionLog" Target="revisionLog2.xml"/><Relationship Id="rId6" Type="http://schemas.openxmlformats.org/officeDocument/2006/relationships/revisionLog" Target="revisionLog6.xml"/><Relationship Id="rId11" Type="http://schemas.openxmlformats.org/officeDocument/2006/relationships/revisionLog" Target="revisionLog10.xml"/><Relationship Id="rId5" Type="http://schemas.openxmlformats.org/officeDocument/2006/relationships/revisionLog" Target="revisionLog5.xml"/><Relationship Id="rId15" Type="http://schemas.openxmlformats.org/officeDocument/2006/relationships/revisionLog" Target="revisionLog14.xml"/><Relationship Id="rId10" Type="http://schemas.openxmlformats.org/officeDocument/2006/relationships/revisionLog" Target="revisionLog9.xml"/><Relationship Id="rId4" Type="http://schemas.openxmlformats.org/officeDocument/2006/relationships/revisionLog" Target="revisionLog4.xml"/><Relationship Id="rId9" Type="http://schemas.openxmlformats.org/officeDocument/2006/relationships/revisionLog" Target="revisionLog1.xml"/><Relationship Id="rId14" Type="http://schemas.openxmlformats.org/officeDocument/2006/relationships/revisionLog" Target="revisionLog13.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6898BA99-941E-4942-A8E5-63C032ABC5FE}" diskRevisions="1" revisionId="236" version="15" protected="1">
  <header guid="{AB780FA0-EA4D-4B35-ABED-A32F4823F9BE}" dateTime="2017-11-16T13:58:47" maxSheetId="12" userName="Praveen Sridharan" r:id="rId2">
    <sheetIdMap count="11">
      <sheetId val="1"/>
      <sheetId val="2"/>
      <sheetId val="3"/>
      <sheetId val="4"/>
      <sheetId val="5"/>
      <sheetId val="6"/>
      <sheetId val="7"/>
      <sheetId val="8"/>
      <sheetId val="9"/>
      <sheetId val="10"/>
      <sheetId val="11"/>
    </sheetIdMap>
  </header>
  <header guid="{02EDFD4E-52B7-45C1-BDB0-F6950BCAFD6E}" dateTime="2017-11-27T13:05:01" maxSheetId="12" userName="Matthew Frazier" r:id="rId3" minRId="12" maxRId="54">
    <sheetIdMap count="11">
      <sheetId val="1"/>
      <sheetId val="2"/>
      <sheetId val="3"/>
      <sheetId val="4"/>
      <sheetId val="5"/>
      <sheetId val="6"/>
      <sheetId val="7"/>
      <sheetId val="8"/>
      <sheetId val="9"/>
      <sheetId val="10"/>
      <sheetId val="11"/>
    </sheetIdMap>
  </header>
  <header guid="{921BC482-1F84-4624-9704-1EDDBF14908C}" dateTime="2017-11-27T13:07:14" maxSheetId="12" userName="Matthew Frazier" r:id="rId4" minRId="66" maxRId="67">
    <sheetIdMap count="11">
      <sheetId val="1"/>
      <sheetId val="2"/>
      <sheetId val="3"/>
      <sheetId val="4"/>
      <sheetId val="5"/>
      <sheetId val="6"/>
      <sheetId val="7"/>
      <sheetId val="8"/>
      <sheetId val="9"/>
      <sheetId val="10"/>
      <sheetId val="11"/>
    </sheetIdMap>
  </header>
  <header guid="{5152253E-88E1-4873-B022-E37642F55132}" dateTime="2017-11-27T13:08:30" maxSheetId="12" userName="Matthew Frazier" r:id="rId5">
    <sheetIdMap count="11">
      <sheetId val="1"/>
      <sheetId val="2"/>
      <sheetId val="3"/>
      <sheetId val="4"/>
      <sheetId val="5"/>
      <sheetId val="6"/>
      <sheetId val="7"/>
      <sheetId val="8"/>
      <sheetId val="9"/>
      <sheetId val="10"/>
      <sheetId val="11"/>
    </sheetIdMap>
  </header>
  <header guid="{0F752F60-FE08-4B1E-ACF5-BCC5A7DB90C5}" dateTime="2017-11-27T13:25:51" maxSheetId="12" userName="Matthew Frazier" r:id="rId6" minRId="79" maxRId="111">
    <sheetIdMap count="11">
      <sheetId val="1"/>
      <sheetId val="2"/>
      <sheetId val="3"/>
      <sheetId val="4"/>
      <sheetId val="5"/>
      <sheetId val="6"/>
      <sheetId val="7"/>
      <sheetId val="8"/>
      <sheetId val="9"/>
      <sheetId val="10"/>
      <sheetId val="11"/>
    </sheetIdMap>
  </header>
  <header guid="{689D0B1C-ADA6-4C33-B67A-E5498BAAE2FA}" dateTime="2017-11-27T13:26:40" maxSheetId="12" userName="Matthew Frazier" r:id="rId7" minRId="112">
    <sheetIdMap count="11">
      <sheetId val="1"/>
      <sheetId val="2"/>
      <sheetId val="3"/>
      <sheetId val="4"/>
      <sheetId val="5"/>
      <sheetId val="6"/>
      <sheetId val="7"/>
      <sheetId val="8"/>
      <sheetId val="9"/>
      <sheetId val="10"/>
      <sheetId val="11"/>
    </sheetIdMap>
  </header>
  <header guid="{9B5250D7-5E5B-4439-99E2-BA153027FBFB}" dateTime="2017-11-29T16:44:28" maxSheetId="12" userName="Matthew Frazier" r:id="rId8" minRId="113" maxRId="127">
    <sheetIdMap count="11">
      <sheetId val="1"/>
      <sheetId val="2"/>
      <sheetId val="3"/>
      <sheetId val="4"/>
      <sheetId val="5"/>
      <sheetId val="6"/>
      <sheetId val="7"/>
      <sheetId val="8"/>
      <sheetId val="9"/>
      <sheetId val="10"/>
      <sheetId val="11"/>
    </sheetIdMap>
  </header>
  <header guid="{57878666-BBEC-420F-B42C-F39871BA1393}" dateTime="2018-02-20T09:00:00" maxSheetId="12" userName="Matthew Frazier" r:id="rId9" minRId="128" maxRId="139">
    <sheetIdMap count="11">
      <sheetId val="1"/>
      <sheetId val="2"/>
      <sheetId val="3"/>
      <sheetId val="4"/>
      <sheetId val="5"/>
      <sheetId val="6"/>
      <sheetId val="7"/>
      <sheetId val="8"/>
      <sheetId val="9"/>
      <sheetId val="10"/>
      <sheetId val="11"/>
    </sheetIdMap>
  </header>
  <header guid="{6642AE0B-C4C5-4076-9675-4285BA0F701E}" dateTime="2018-02-20T09:51:32" maxSheetId="12" userName="Matthew Frazier" r:id="rId10" minRId="151" maxRId="169">
    <sheetIdMap count="11">
      <sheetId val="1"/>
      <sheetId val="2"/>
      <sheetId val="3"/>
      <sheetId val="4"/>
      <sheetId val="5"/>
      <sheetId val="6"/>
      <sheetId val="7"/>
      <sheetId val="8"/>
      <sheetId val="9"/>
      <sheetId val="10"/>
      <sheetId val="11"/>
    </sheetIdMap>
  </header>
  <header guid="{0FC9E680-7590-499F-AC97-F7DE1D71D301}" dateTime="2018-02-23T09:54:25" maxSheetId="12" userName="Matthew Frazier" r:id="rId11" minRId="181" maxRId="187">
    <sheetIdMap count="11">
      <sheetId val="1"/>
      <sheetId val="2"/>
      <sheetId val="3"/>
      <sheetId val="4"/>
      <sheetId val="5"/>
      <sheetId val="6"/>
      <sheetId val="7"/>
      <sheetId val="8"/>
      <sheetId val="9"/>
      <sheetId val="10"/>
      <sheetId val="11"/>
    </sheetIdMap>
  </header>
  <header guid="{44B180CC-005A-418B-86AD-A716AFA80599}" dateTime="2018-03-13T14:47:09" maxSheetId="12" userName="Matthew Frazier" r:id="rId12" minRId="188" maxRId="200">
    <sheetIdMap count="11">
      <sheetId val="1"/>
      <sheetId val="2"/>
      <sheetId val="3"/>
      <sheetId val="4"/>
      <sheetId val="5"/>
      <sheetId val="6"/>
      <sheetId val="7"/>
      <sheetId val="8"/>
      <sheetId val="9"/>
      <sheetId val="10"/>
      <sheetId val="11"/>
    </sheetIdMap>
  </header>
  <header guid="{64EFEBD8-4225-4E0A-82D1-10A5A66ACA4E}" dateTime="2018-03-14T15:32:38" maxSheetId="12" userName="Matthew Frazier" r:id="rId13" minRId="201">
    <sheetIdMap count="11">
      <sheetId val="1"/>
      <sheetId val="2"/>
      <sheetId val="3"/>
      <sheetId val="4"/>
      <sheetId val="5"/>
      <sheetId val="6"/>
      <sheetId val="7"/>
      <sheetId val="8"/>
      <sheetId val="9"/>
      <sheetId val="10"/>
      <sheetId val="11"/>
    </sheetIdMap>
  </header>
  <header guid="{0B963F77-EC30-47BD-94E7-A1AF24505D9D}" dateTime="2018-03-15T22:49:06" maxSheetId="12" userName="Erik Landfried" r:id="rId14" minRId="213" maxRId="214">
    <sheetIdMap count="11">
      <sheetId val="1"/>
      <sheetId val="2"/>
      <sheetId val="3"/>
      <sheetId val="4"/>
      <sheetId val="5"/>
      <sheetId val="6"/>
      <sheetId val="7"/>
      <sheetId val="8"/>
      <sheetId val="9"/>
      <sheetId val="10"/>
      <sheetId val="11"/>
    </sheetIdMap>
  </header>
  <header guid="{6898BA99-941E-4942-A8E5-63C032ABC5FE}" dateTime="2018-03-17T09:35:51" maxSheetId="12" userName="Lenovo User" r:id="rId15">
    <sheetIdMap count="11">
      <sheetId val="1"/>
      <sheetId val="2"/>
      <sheetId val="3"/>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8" sId="1">
    <oc r="D101">
      <f>(14.47/25.79)*(D117*D118-D100)</f>
    </oc>
    <nc r="D101">
      <f>(14.47/25.79)*(D117*D118-SUM(D98:D100))</f>
    </nc>
  </rcc>
  <rcc rId="129" sId="1">
    <oc r="E101">
      <f>(14.47/25.79)*(E117*E118-E100)</f>
    </oc>
    <nc r="E101">
      <f>(14.47/25.79)*(E117*E118-SUM(E98:E100))</f>
    </nc>
  </rcc>
  <rcc rId="130" sId="1">
    <oc r="F101">
      <f>(14.47/25.79)*(F117*F118-F100)</f>
    </oc>
    <nc r="F101">
      <f>(14.47/25.79)*(F117*F118-SUM(F98:F100))</f>
    </nc>
  </rcc>
  <rcc rId="131" sId="1">
    <oc r="G101">
      <f>(14.47/25.79)*(G117*G118-G100)</f>
    </oc>
    <nc r="G101">
      <f>(14.47/25.79)*(G117*G118-SUM(G98:G100))</f>
    </nc>
  </rcc>
  <rcc rId="132" sId="1">
    <oc r="H101">
      <f>(14.47/25.79)*(H117*H118-H100)</f>
    </oc>
    <nc r="H101">
      <f>(14.47/25.79)*(H117*H118-SUM(H98:H100))</f>
    </nc>
  </rcc>
  <rcc rId="133" sId="1">
    <oc r="I101">
      <f>(14.47/25.79)*(I117*I118-I100)</f>
    </oc>
    <nc r="I101">
      <f>(14.47/25.79)*(I117*I118-SUM(I98:I100))</f>
    </nc>
  </rcc>
  <rcc rId="134" sId="1" odxf="1" dxf="1">
    <nc r="D99">
      <f>D119*0.1</f>
    </nc>
    <ndxf>
      <numFmt numFmtId="166" formatCode="_(* #,##0_);_(* \(#,##0\);_(* &quot;-&quot;??_);_(@_)"/>
    </ndxf>
  </rcc>
  <rcc rId="135" sId="1" odxf="1" dxf="1">
    <nc r="E99">
      <f>E119*0.1</f>
    </nc>
    <odxf>
      <numFmt numFmtId="34" formatCode="_(&quot;$&quot;* #,##0.00_);_(&quot;$&quot;* \(#,##0.00\);_(&quot;$&quot;* &quot;-&quot;??_);_(@_)"/>
    </odxf>
    <ndxf>
      <numFmt numFmtId="166" formatCode="_(* #,##0_);_(* \(#,##0\);_(* &quot;-&quot;??_);_(@_)"/>
    </ndxf>
  </rcc>
  <rcc rId="136" sId="1" odxf="1" dxf="1">
    <nc r="F99">
      <f>F119*0.1</f>
    </nc>
    <odxf>
      <numFmt numFmtId="34" formatCode="_(&quot;$&quot;* #,##0.00_);_(&quot;$&quot;* \(#,##0.00\);_(&quot;$&quot;* &quot;-&quot;??_);_(@_)"/>
    </odxf>
    <ndxf>
      <numFmt numFmtId="166" formatCode="_(* #,##0_);_(* \(#,##0\);_(* &quot;-&quot;??_);_(@_)"/>
    </ndxf>
  </rcc>
  <rcc rId="137" sId="1" odxf="1" dxf="1">
    <nc r="G99">
      <f>G119*0.1</f>
    </nc>
    <odxf>
      <numFmt numFmtId="34" formatCode="_(&quot;$&quot;* #,##0.00_);_(&quot;$&quot;* \(#,##0.00\);_(&quot;$&quot;* &quot;-&quot;??_);_(@_)"/>
    </odxf>
    <ndxf>
      <numFmt numFmtId="166" formatCode="_(* #,##0_);_(* \(#,##0\);_(* &quot;-&quot;??_);_(@_)"/>
    </ndxf>
  </rcc>
  <rcc rId="138" sId="1" odxf="1" dxf="1">
    <nc r="H99">
      <f>H119*0.1</f>
    </nc>
    <odxf>
      <numFmt numFmtId="34" formatCode="_(&quot;$&quot;* #,##0.00_);_(&quot;$&quot;* \(#,##0.00\);_(&quot;$&quot;* &quot;-&quot;??_);_(@_)"/>
    </odxf>
    <ndxf>
      <numFmt numFmtId="166" formatCode="_(* #,##0_);_(* \(#,##0\);_(* &quot;-&quot;??_);_(@_)"/>
    </ndxf>
  </rcc>
  <rcc rId="139" sId="1" odxf="1" dxf="1">
    <nc r="I99">
      <f>I119*0.1</f>
    </nc>
    <odxf>
      <numFmt numFmtId="34" formatCode="_(&quot;$&quot;* #,##0.00_);_(&quot;$&quot;* \(#,##0.00\);_(&quot;$&quot;* &quot;-&quot;??_);_(@_)"/>
    </odxf>
    <ndxf>
      <numFmt numFmtId="166" formatCode="_(* #,##0_);_(* \(#,##0\);_(* &quot;-&quot;??_);_(@_)"/>
    </ndxf>
  </rcc>
  <rcv guid="{E4FCC8BB-C0B4-400B-AC63-5FBAF2D4221B}" action="delete"/>
  <rdn rId="0" localSheetId="1" customView="1" name="Z_E4FCC8BB_C0B4_400B_AC63_5FBAF2D4221B_.wvu.PrintArea" hidden="1" oldHidden="1">
    <formula>'FY19 Project Request '!$A$1:$K$149</formula>
    <oldFormula>'FY19 Project Request '!$A$1:$K$149</oldFormula>
  </rdn>
  <rdn rId="0" localSheetId="1" customView="1" name="Z_E4FCC8BB_C0B4_400B_AC63_5FBAF2D4221B_.wvu.Rows" hidden="1" oldHidden="1">
    <formula>'FY19 Project Request '!$55:$58,'FY19 Project Request '!$77:$79,'FY19 Project Request '!$93:$96,'FY19 Project Request '!$131:$141</formula>
    <oldFormula>'FY19 Project Request '!$55:$58,'FY19 Project Request '!$77:$79,'FY19 Project Request '!$93:$96,'FY19 Project Request '!$131:$141</oldFormula>
  </rdn>
  <rdn rId="0" localSheetId="1" customView="1" name="Z_E4FCC8BB_C0B4_400B_AC63_5FBAF2D4221B_.wvu.FilterData" hidden="1" oldHidden="1">
    <formula>'FY19 Project Request '!$X$3:$X$12</formula>
    <oldFormula>'FY19 Project Request '!$X$3:$X$12</oldFormula>
  </rdn>
  <rdn rId="0" localSheetId="2" customView="1" name="Z_E4FCC8BB_C0B4_400B_AC63_5FBAF2D4221B_.wvu.PrintArea" hidden="1" oldHidden="1">
    <formula>'FY19 Project Reporting'!$A$1:$K$65</formula>
    <oldFormula>'FY19 Project Reporting'!$A$1:$K$65</oldFormula>
  </rdn>
  <rdn rId="0" localSheetId="2" customView="1" name="Z_E4FCC8BB_C0B4_400B_AC63_5FBAF2D4221B_.wvu.Cols" hidden="1" oldHidden="1">
    <formula>'FY19 Project Reporting'!$V:$AD</formula>
    <oldFormula>'FY19 Project Reporting'!$V:$AD</oldFormula>
  </rdn>
  <rdn rId="0" localSheetId="3" customView="1" name="Z_E4FCC8BB_C0B4_400B_AC63_5FBAF2D4221B_.wvu.PrintArea" hidden="1" oldHidden="1">
    <formula>'Exhibit A'!$A$1:$K$44</formula>
    <oldFormula>'Exhibit A'!$A$1:$K$44</oldFormula>
  </rdn>
  <rdn rId="0" localSheetId="3" customView="1" name="Z_E4FCC8BB_C0B4_400B_AC63_5FBAF2D4221B_.wvu.Cols" hidden="1" oldHidden="1">
    <formula>'Exhibit A'!$V:$AC</formula>
    <oldFormula>'Exhibit A'!$V:$AC</oldFormula>
  </rdn>
  <rdn rId="0" localSheetId="4" customView="1" name="Z_E4FCC8BB_C0B4_400B_AC63_5FBAF2D4221B_.wvu.PrintArea" hidden="1" oldHidden="1">
    <formula>'ProjReq Instructions'!$A$1:$C$192</formula>
    <oldFormula>'ProjReq Instructions'!$A$1:$C$192</oldFormula>
  </rdn>
  <rdn rId="0" localSheetId="5" customView="1" name="Z_E4FCC8BB_C0B4_400B_AC63_5FBAF2D4221B_.wvu.PrintArea" hidden="1" oldHidden="1">
    <formula>'ProjReport Instructions'!$A$1:$C$62</formula>
    <oldFormula>'ProjReport Instructions'!$A$1:$C$62</oldFormula>
  </rdn>
  <rdn rId="0" localSheetId="6" customView="1" name="Z_E4FCC8BB_C0B4_400B_AC63_5FBAF2D4221B_.wvu.PrintArea" hidden="1" oldHidden="1">
    <formula>'FY19 Exhibit A - Draft'!$A$1:$K$63</formula>
    <oldFormula>'FY19 Exhibit A - Draft'!$A$1:$K$63</oldFormula>
  </rdn>
  <rdn rId="0" localSheetId="7" customView="1" name="Z_E4FCC8BB_C0B4_400B_AC63_5FBAF2D4221B_.wvu.Rows" hidden="1" oldHidden="1">
    <formula>'End-of-Year Reconciliations'!$22:$27</formula>
    <oldFormula>'End-of-Year Reconciliations'!$22:$27</oldFormula>
  </rdn>
  <rcv guid="{E4FCC8BB-C0B4-400B-AC63-5FBAF2D4221B}"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1" sId="1">
    <oc r="F67" t="inlineStr">
      <is>
        <t>5:50 AM - 9:50 AM and 3:10 - 7:10 PM, weekdays only</t>
      </is>
    </oc>
    <nc r="F67" t="inlineStr">
      <is>
        <t>5:50 AM - 9:50 AM and 3:10 - 7:10 PM, weekdays only
(project would generally maintain current span)</t>
      </is>
    </nc>
  </rcc>
  <rcc rId="182" sId="1">
    <oc r="F68" t="inlineStr">
      <is>
        <t>Every 30 minutes or better</t>
      </is>
    </oc>
    <nc r="F68" t="inlineStr">
      <is>
        <t>Every 30 minutes or better (potentially as often as every 20 minutes)</t>
      </is>
    </nc>
  </rcc>
  <rcc rId="183" sId="1">
    <oc r="F72" t="inlineStr">
      <is>
        <t>Up to 51.01 per weekday (up to 11.04 from Durham Co. in this request)</t>
      </is>
    </oc>
    <nc r="F72" t="inlineStr">
      <is>
        <t>Up to 51.01 per weekday (up to 11.32 from Durham Co. in this request)</t>
      </is>
    </nc>
  </rcc>
  <rcc rId="184" sId="1">
    <oc r="B45" t="inlineStr">
      <is>
        <t>A few revenue hours are available from Wake County funds in the Triangle Tax District to provide limited reliability improvements and overcrowding relief on Route DRX. However, this would not be enough to completely ameliorate reliability issues or provide meaningful increase in service levels.</t>
      </is>
    </oc>
    <nc r="B45" t="inlineStr">
      <is>
        <t>A few revenue hours are available from Wake County funds in the Triangle Tax District to provide limited reliability improvements and overcrowding relief on Route DRX. However, this would not be enough to completely ameliorate reliability issues or provide a meaningful increase in service levels.</t>
      </is>
    </nc>
  </rcc>
  <rcc rId="185" sId="1">
    <oc r="B17" t="inlineStr">
      <is>
        <t>Route DRX would have additional time and trips added, to provide service every 30 minutes or better during AM and PM peak periods. Currently, frequencies vary between 30 and 45 minutes. A precise schedule is still to be determined once the exact number of revenue hours and vehicles available is ascertained.
Improvements to Route DRX are charged 50% to Durham County and 50% to Wake County in the Triangle Tax District.</t>
      </is>
    </oc>
    <nc r="B17" t="inlineStr">
      <is>
        <t>Route DRX would have additional time and trips added, to provide service every 30 minutes or better during AM and PM peak periods. Currently, frequencies vary between 30 and 45 minutes. A precise schedule is still to be determined once the exact number of revenue hours and vehicles available is ascertained. The service span would not be significantly expanded from the current span, but it may be possible to provide service as often as every 20 minutes during the highest-ridership times.
Durham County revenues from the Tax District currently contribute 3.15 revenue hours per day to the route. This project would add up to 11.32 revenue hours per day, for a total Durham County contribution of 14.47 revenue hours per day. A parallel Wake County contribution would add up to 14.47 revenue hours per day. The exact level of investment will be determined through GoTriangle's short-range planning process and related follow-up work, but the end result will be that Durham County and Wake County will each contribute 50% of the total Tax District investment in Route DRX.</t>
      </is>
    </nc>
  </rcc>
  <rcc rId="186" sId="1">
    <oc r="B43" t="inlineStr">
      <is>
        <t>Route DRX has consistently been a high-performing route, and continued residential and job growth in downtown Durham, downtown Raleigh, Duke University, and NC State University will increase demand even further.</t>
      </is>
    </oc>
    <nc r="B43" t="inlineStr">
      <is>
        <t>Route DRX has consistently been a high-performing route. In FY 2017, it had 460 boardings on the average weekday, and 18.1 boardings per revenue hour - the highest total ridership and productivity of any GoTriangle express route. Continued residential and job growth in downtown Durham, downtown Raleigh, Duke University, and NC State University will increase demand even further. If the full level of investment is made, and ridership per service hour continues at its current rate, Route DRX could grow over the next few years to about 925 boardings per weekday.</t>
      </is>
    </nc>
  </rcc>
  <rcc rId="187" sId="1">
    <oc r="B146" t="inlineStr">
      <is>
        <t>The service is proposed to operate for 227 weekdays in FY 2019 and 251 in FY 2020. The number of revenue hours shown is the maximum anticipated investment from Durham County. If a schedule with 51.01 revenue hours cannot be operated with the number of vehicles available, or if additional bus operating projects are prioritized in Durham County, the cost of this budget request would be reduced.</t>
      </is>
    </oc>
    <nc r="B146" t="inlineStr">
      <is>
        <t>The service is proposed to operate for 227 weekdays in FY 2019 and 251 in FY 2020. The number of revenue hours shown is the maximum anticipated investment from Durham County. If a schedule with 51.01 revenue hours cannot be operated with the number of vehicles available, or if additional bus operating projects are prioritized in Durham County, the cost of this budget request would be reduce.
Even without this project, Durham County is planned to contribute $72,102 to Route DRX in FY 2019 and $74,438 in FY 2020.</t>
      </is>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8" sId="1">
    <oc r="B38" t="inlineStr">
      <is>
        <t>Enhancements to Route DRX, up to 30-minute peak frequency, were specifically selected as a regional project in the Transit Plan. Unfortunately, improving service to every 30 minutes requires more revenue hours than originally anticipated, and 30-minute service is not enough to accommodate the ridership demand on the route.</t>
      </is>
    </oc>
    <nc r="B38" t="inlineStr">
      <is>
        <t>Enhancements to Route DRX, up to 30-minute peak frequency, were specifically selected as a regional project in the Transit Plan. Unfortunately, improving service to every 30 minutes requires more revenue hours than originally anticipated, and 30-minute service alone is not enough to accommodate the ridership demand on the route.</t>
      </is>
    </nc>
  </rcc>
  <rcc rId="189" sId="1">
    <oc r="B17" t="inlineStr">
      <is>
        <t>Route DRX would have additional time and trips added, to provide service every 30 minutes or better during AM and PM peak periods. Currently, frequencies vary between 30 and 45 minutes. A precise schedule is still to be determined once the exact number of revenue hours and vehicles available is ascertained. The service span would not be significantly expanded from the current span, but it may be possible to provide service as often as every 20 minutes during the highest-ridership times.
Durham County revenues from the Tax District currently contribute 3.15 revenue hours per day to the route. This project would add up to 11.32 revenue hours per day, for a total Durham County contribution of 14.47 revenue hours per day. A parallel Wake County contribution would add up to 14.47 revenue hours per day. The exact level of investment will be determined through GoTriangle's short-range planning process and related follow-up work, but the end result will be that Durham County and Wake County will each contribute 50% of the total Tax District investment in Route DRX.</t>
      </is>
    </oc>
    <nc r="B17" t="inlineStr">
      <is>
        <t>Route DRX would have additional time and trips added, to provide service every 30 minutes or better during AM and PM peak periods. (The "or better" is likely to take the form of 15-20 minute frequencies during the highest-ridership hour of the day.) Currently, frequencies vary between 30 and 45 minutes, which leads to vehicle crowding.
Durham County revenues from the Tax District currently contribute 2.12 revenue hours per day to the route. This project would add 5.50 revenue hours per day, for a total Durham County contribution of 7.62 revenue hours per day. A parallel Wake County contribution would add up to 7.62 revenue hours per day.</t>
      </is>
    </nc>
  </rcc>
  <rcc rId="190" sId="1">
    <oc r="F68" t="inlineStr">
      <is>
        <t>Every 30 minutes or better (potentially as often as every 20 minutes)</t>
      </is>
    </oc>
    <nc r="F68" t="inlineStr">
      <is>
        <t>Every 30 minutes or better</t>
      </is>
    </nc>
  </rcc>
  <rcc rId="191" sId="1">
    <oc r="F72" t="inlineStr">
      <is>
        <t>Up to 51.01 per weekday (up to 11.32 from Durham Co. in this request)</t>
      </is>
    </oc>
    <nc r="F72" t="inlineStr">
      <is>
        <t>39.10 per weekday (5.50 from Durham Co. in this request)</t>
      </is>
    </nc>
  </rcc>
  <rcc rId="192" sId="1">
    <oc r="D101">
      <f>(14.47/25.79)*(D117*D118)</f>
    </oc>
    <nc r="D101">
      <f>(7.62/(7.62+5.5))*(D117*D118)</f>
    </nc>
  </rcc>
  <rcc rId="193" sId="1">
    <oc r="E101">
      <f>(14.47/25.79)*(E117*E118)</f>
    </oc>
    <nc r="E101">
      <f>(7.62/(7.62+5.5))*(E117*E118)</f>
    </nc>
  </rcc>
  <rcc rId="194" sId="1">
    <oc r="F101">
      <f>(14.47/25.79)*(F117*F118)</f>
    </oc>
    <nc r="F101">
      <f>(7.62/(7.62+5.5))*(F117*F118)</f>
    </nc>
  </rcc>
  <rcc rId="195" sId="1">
    <oc r="G101">
      <f>(14.47/25.79)*(G117*G118)</f>
    </oc>
    <nc r="G101">
      <f>(7.62/(7.62+5.5))*(G117*G118)</f>
    </nc>
  </rcc>
  <rcc rId="196" sId="1">
    <oc r="H101">
      <f>(14.47/25.79)*(H117*H118)</f>
    </oc>
    <nc r="H101">
      <f>(7.62/(7.62+5.5))*(H117*H118)</f>
    </nc>
  </rcc>
  <rcc rId="197" sId="1">
    <oc r="I101">
      <f>(14.47/25.79)*(I117*I118)</f>
    </oc>
    <nc r="I101">
      <f>(7.62/(7.62+5.5))*(I117*I118)</f>
    </nc>
  </rcc>
  <rcc rId="198" sId="1" numFmtId="34">
    <oc r="D117">
      <v>5854</v>
    </oc>
    <nc r="D117">
      <f>(7.62+5.5)*227</f>
    </nc>
  </rcc>
  <rcc rId="199" sId="1" numFmtId="34">
    <oc r="E117">
      <v>6473</v>
    </oc>
    <nc r="E117">
      <f>(7.62+5.5)*251</f>
    </nc>
  </rcc>
  <rcc rId="200" sId="1">
    <oc r="B146" t="inlineStr">
      <is>
        <t>The service is proposed to operate for 227 weekdays in FY 2019 and 251 in FY 2020. The number of revenue hours shown is the maximum anticipated investment from Durham County. If a schedule with 51.01 revenue hours cannot be operated with the number of vehicles available, or if additional bus operating projects are prioritized in Durham County, the cost of this budget request would be reduce.
Even without this project, Durham County is planned to contribute $72,102 to Route DRX in FY 2019 and $74,438 in FY 2020.</t>
      </is>
    </oc>
    <nc r="B146" t="inlineStr">
      <is>
        <t>The service is proposed to operate for 227 weekdays in FY 2019 and 251 in FY 2020. A full schedule has not been developed, so the exact number of revenue hours is likely to change (but is not likely to increase) by implementation.
Even without this project, Durham County is planned to contribute $64,660 to Route DRX in FY 2019 and $66,780 in FY 2020.</t>
      </is>
    </nc>
  </rcc>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1" sId="1">
    <oc r="B43" t="inlineStr">
      <is>
        <t>Route DRX has consistently been a high-performing route. In FY 2017, it had 460 boardings on the average weekday, and 18.1 boardings per revenue hour - the highest total ridership and productivity of any GoTriangle express route. Continued residential and job growth in downtown Durham, downtown Raleigh, Duke University, and NC State University will increase demand even further. If the full level of investment is made, and ridership per service hour continues at its current rate, Route DRX could grow over the next few years to about 925 boardings per weekday.</t>
      </is>
    </oc>
    <nc r="B43" t="inlineStr">
      <is>
        <t>Route DRX has consistently been a high-performing route. In FY 2017, it had 460 boardings on the average weekday, and 18.1 boardings per revenue hour - the highest total ridership and productivity of any GoTriangle express route. Continued residential and job growth in downtown Durham, downtown Raleigh, Duke University, and NC State University will increase demand even further. If the full level of investment is made, and ridership per service hour continues at its current rate, Route DRX could grow over the next few years to about 705 boardings per weekday.</t>
      </is>
    </nc>
  </rcc>
  <rcv guid="{E4FCC8BB-C0B4-400B-AC63-5FBAF2D4221B}" action="delete"/>
  <rdn rId="0" localSheetId="1" customView="1" name="Z_E4FCC8BB_C0B4_400B_AC63_5FBAF2D4221B_.wvu.PrintArea" hidden="1" oldHidden="1">
    <formula>'FY19 Project Request '!$A$1:$K$149</formula>
    <oldFormula>'FY19 Project Request '!$A$1:$K$149</oldFormula>
  </rdn>
  <rdn rId="0" localSheetId="1" customView="1" name="Z_E4FCC8BB_C0B4_400B_AC63_5FBAF2D4221B_.wvu.Rows" hidden="1" oldHidden="1">
    <formula>'FY19 Project Request '!$55:$58,'FY19 Project Request '!$77:$79,'FY19 Project Request '!$93:$96,'FY19 Project Request '!$131:$141</formula>
    <oldFormula>'FY19 Project Request '!$55:$58,'FY19 Project Request '!$77:$79,'FY19 Project Request '!$93:$96,'FY19 Project Request '!$131:$141</oldFormula>
  </rdn>
  <rdn rId="0" localSheetId="1" customView="1" name="Z_E4FCC8BB_C0B4_400B_AC63_5FBAF2D4221B_.wvu.FilterData" hidden="1" oldHidden="1">
    <formula>'FY19 Project Request '!$X$3:$X$12</formula>
    <oldFormula>'FY19 Project Request '!$X$3:$X$12</oldFormula>
  </rdn>
  <rdn rId="0" localSheetId="2" customView="1" name="Z_E4FCC8BB_C0B4_400B_AC63_5FBAF2D4221B_.wvu.PrintArea" hidden="1" oldHidden="1">
    <formula>'FY19 Project Reporting'!$A$1:$K$65</formula>
    <oldFormula>'FY19 Project Reporting'!$A$1:$K$65</oldFormula>
  </rdn>
  <rdn rId="0" localSheetId="2" customView="1" name="Z_E4FCC8BB_C0B4_400B_AC63_5FBAF2D4221B_.wvu.Cols" hidden="1" oldHidden="1">
    <formula>'FY19 Project Reporting'!$V:$AD</formula>
    <oldFormula>'FY19 Project Reporting'!$V:$AD</oldFormula>
  </rdn>
  <rdn rId="0" localSheetId="3" customView="1" name="Z_E4FCC8BB_C0B4_400B_AC63_5FBAF2D4221B_.wvu.PrintArea" hidden="1" oldHidden="1">
    <formula>'Exhibit A'!$A$1:$K$44</formula>
    <oldFormula>'Exhibit A'!$A$1:$K$44</oldFormula>
  </rdn>
  <rdn rId="0" localSheetId="3" customView="1" name="Z_E4FCC8BB_C0B4_400B_AC63_5FBAF2D4221B_.wvu.Cols" hidden="1" oldHidden="1">
    <formula>'Exhibit A'!$V:$AC</formula>
    <oldFormula>'Exhibit A'!$V:$AC</oldFormula>
  </rdn>
  <rdn rId="0" localSheetId="4" customView="1" name="Z_E4FCC8BB_C0B4_400B_AC63_5FBAF2D4221B_.wvu.PrintArea" hidden="1" oldHidden="1">
    <formula>'ProjReq Instructions'!$A$1:$C$192</formula>
    <oldFormula>'ProjReq Instructions'!$A$1:$C$192</oldFormula>
  </rdn>
  <rdn rId="0" localSheetId="5" customView="1" name="Z_E4FCC8BB_C0B4_400B_AC63_5FBAF2D4221B_.wvu.PrintArea" hidden="1" oldHidden="1">
    <formula>'ProjReport Instructions'!$A$1:$C$62</formula>
    <oldFormula>'ProjReport Instructions'!$A$1:$C$62</oldFormula>
  </rdn>
  <rdn rId="0" localSheetId="6" customView="1" name="Z_E4FCC8BB_C0B4_400B_AC63_5FBAF2D4221B_.wvu.PrintArea" hidden="1" oldHidden="1">
    <formula>'FY19 Exhibit A - Draft'!$A$1:$K$63</formula>
    <oldFormula>'FY19 Exhibit A - Draft'!$A$1:$K$63</oldFormula>
  </rdn>
  <rdn rId="0" localSheetId="7" customView="1" name="Z_E4FCC8BB_C0B4_400B_AC63_5FBAF2D4221B_.wvu.Rows" hidden="1" oldHidden="1">
    <formula>'End-of-Year Reconciliations'!$22:$27</formula>
    <oldFormula>'End-of-Year Reconciliations'!$22:$27</oldFormula>
  </rdn>
  <rcv guid="{E4FCC8BB-C0B4-400B-AC63-5FBAF2D4221B}"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3" sId="1">
    <oc r="B11" t="inlineStr">
      <is>
        <t>Raleigh-Durham Express, Additional Frequency</t>
      </is>
    </oc>
    <nc r="B11" t="inlineStr">
      <is>
        <t>Durham-Raleigh Express, Additional Frequency</t>
      </is>
    </nc>
  </rcc>
  <rcc rId="214" sId="1">
    <oc r="B146" t="inlineStr">
      <is>
        <t>The service is proposed to operate for 227 weekdays in FY 2019 and 251 in FY 2020. A full schedule has not been developed, so the exact number of revenue hours is likely to change (but is not likely to increase) by implementation.
Even without this project, Durham County is planned to contribute $64,660 to Route DRX in FY 2019 and $66,780 in FY 2020.</t>
      </is>
    </oc>
    <nc r="B146" t="inlineStr">
      <is>
        <t>The service is proposed to operate for 227 weekdays in FY 2019 and 251 in FY 2020. A full schedule has not been developed, so the exact number of revenue hours is likely to change (but is not likely to increase) by implementation.
Even without this project, Durham County is planned to contribute $64,660 to Route DRX in FY 2019 and $66,780 in FY 2020. 
Farebox recovery is projected to increase over time as ridership grows, from 10% in the first year to 20% in the fifth year.</t>
      </is>
    </nc>
  </rcc>
  <rdn rId="0" localSheetId="1" customView="1" name="Z_FEF1506F_6F82_40B0_A457_59C910FA4B02_.wvu.PrintArea" hidden="1" oldHidden="1">
    <formula>'FY19 Project Request '!$A$1:$K$149</formula>
  </rdn>
  <rdn rId="0" localSheetId="1" customView="1" name="Z_FEF1506F_6F82_40B0_A457_59C910FA4B02_.wvu.Rows" hidden="1" oldHidden="1">
    <formula>'FY19 Project Request '!$55:$58,'FY19 Project Request '!$77:$79,'FY19 Project Request '!$93:$96,'FY19 Project Request '!$131:$141</formula>
  </rdn>
  <rdn rId="0" localSheetId="1" customView="1" name="Z_FEF1506F_6F82_40B0_A457_59C910FA4B02_.wvu.FilterData" hidden="1" oldHidden="1">
    <formula>'FY19 Project Request '!$X$3:$X$12</formula>
  </rdn>
  <rdn rId="0" localSheetId="2" customView="1" name="Z_FEF1506F_6F82_40B0_A457_59C910FA4B02_.wvu.PrintArea" hidden="1" oldHidden="1">
    <formula>'FY19 Project Reporting'!$A$1:$K$65</formula>
  </rdn>
  <rdn rId="0" localSheetId="2" customView="1" name="Z_FEF1506F_6F82_40B0_A457_59C910FA4B02_.wvu.Cols" hidden="1" oldHidden="1">
    <formula>'FY19 Project Reporting'!$V:$AD</formula>
  </rdn>
  <rdn rId="0" localSheetId="3" customView="1" name="Z_FEF1506F_6F82_40B0_A457_59C910FA4B02_.wvu.PrintArea" hidden="1" oldHidden="1">
    <formula>'Exhibit A'!$A$1:$K$44</formula>
  </rdn>
  <rdn rId="0" localSheetId="3" customView="1" name="Z_FEF1506F_6F82_40B0_A457_59C910FA4B02_.wvu.Cols" hidden="1" oldHidden="1">
    <formula>'Exhibit A'!$V:$AC</formula>
  </rdn>
  <rdn rId="0" localSheetId="4" customView="1" name="Z_FEF1506F_6F82_40B0_A457_59C910FA4B02_.wvu.PrintArea" hidden="1" oldHidden="1">
    <formula>'ProjReq Instructions'!$A$1:$C$192</formula>
  </rdn>
  <rdn rId="0" localSheetId="5" customView="1" name="Z_FEF1506F_6F82_40B0_A457_59C910FA4B02_.wvu.PrintArea" hidden="1" oldHidden="1">
    <formula>'ProjReport Instructions'!$A$1:$C$62</formula>
  </rdn>
  <rdn rId="0" localSheetId="6" customView="1" name="Z_FEF1506F_6F82_40B0_A457_59C910FA4B02_.wvu.PrintArea" hidden="1" oldHidden="1">
    <formula>'FY19 Exhibit A - Draft'!$A$1:$K$63</formula>
  </rdn>
  <rdn rId="0" localSheetId="7" customView="1" name="Z_FEF1506F_6F82_40B0_A457_59C910FA4B02_.wvu.Rows" hidden="1" oldHidden="1">
    <formula>'End-of-Year Reconciliations'!$22:$27</formula>
  </rdn>
  <rcv guid="{FEF1506F-6F82-40B0-A457-59C910FA4B02}"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mt sheetId="1" cell="D100" guid="{280EE25A-FDF7-4E3E-940D-EEBA73C703A7}" author="Lenovo User" newLength="36"/>
  <rdn rId="0" localSheetId="1" customView="1" name="Z_CDDD1BF2_7147_4473_B186_680AA7EBC2A1_.wvu.PrintArea" hidden="1" oldHidden="1">
    <formula>'FY19 Project Request '!$A$1:$K$149</formula>
  </rdn>
  <rdn rId="0" localSheetId="1" customView="1" name="Z_CDDD1BF2_7147_4473_B186_680AA7EBC2A1_.wvu.Rows" hidden="1" oldHidden="1">
    <formula>'FY19 Project Request '!$55:$58,'FY19 Project Request '!$77:$79,'FY19 Project Request '!$93:$96,'FY19 Project Request '!$131:$141</formula>
  </rdn>
  <rdn rId="0" localSheetId="1" customView="1" name="Z_CDDD1BF2_7147_4473_B186_680AA7EBC2A1_.wvu.FilterData" hidden="1" oldHidden="1">
    <formula>'FY19 Project Request '!$X$3:$X$12</formula>
  </rdn>
  <rdn rId="0" localSheetId="2" customView="1" name="Z_CDDD1BF2_7147_4473_B186_680AA7EBC2A1_.wvu.PrintArea" hidden="1" oldHidden="1">
    <formula>'FY19 Project Reporting'!$A$1:$K$65</formula>
  </rdn>
  <rdn rId="0" localSheetId="2" customView="1" name="Z_CDDD1BF2_7147_4473_B186_680AA7EBC2A1_.wvu.Cols" hidden="1" oldHidden="1">
    <formula>'FY19 Project Reporting'!$V:$AD</formula>
  </rdn>
  <rdn rId="0" localSheetId="3" customView="1" name="Z_CDDD1BF2_7147_4473_B186_680AA7EBC2A1_.wvu.PrintArea" hidden="1" oldHidden="1">
    <formula>'Exhibit A'!$A$1:$K$44</formula>
  </rdn>
  <rdn rId="0" localSheetId="3" customView="1" name="Z_CDDD1BF2_7147_4473_B186_680AA7EBC2A1_.wvu.Cols" hidden="1" oldHidden="1">
    <formula>'Exhibit A'!$V:$AC</formula>
  </rdn>
  <rdn rId="0" localSheetId="4" customView="1" name="Z_CDDD1BF2_7147_4473_B186_680AA7EBC2A1_.wvu.PrintArea" hidden="1" oldHidden="1">
    <formula>'ProjReq Instructions'!$A$1:$C$192</formula>
  </rdn>
  <rdn rId="0" localSheetId="5" customView="1" name="Z_CDDD1BF2_7147_4473_B186_680AA7EBC2A1_.wvu.PrintArea" hidden="1" oldHidden="1">
    <formula>'ProjReport Instructions'!$A$1:$C$62</formula>
  </rdn>
  <rdn rId="0" localSheetId="6" customView="1" name="Z_CDDD1BF2_7147_4473_B186_680AA7EBC2A1_.wvu.PrintArea" hidden="1" oldHidden="1">
    <formula>'FY19 Exhibit A - Draft'!$A$1:$K$63</formula>
  </rdn>
  <rdn rId="0" localSheetId="7" customView="1" name="Z_CDDD1BF2_7147_4473_B186_680AA7EBC2A1_.wvu.Rows" hidden="1" oldHidden="1">
    <formula>'End-of-Year Reconciliations'!$22:$27</formula>
  </rdn>
  <rcv guid="{CDDD1BF2-7147-4473-B186-680AA7EBC2A1}"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A57ED495-A8F1-41AA-920B-D492B709C260}" action="delete"/>
  <rdn rId="0" localSheetId="1" customView="1" name="Z_A57ED495_A8F1_41AA_920B_D492B709C260_.wvu.PrintArea" hidden="1" oldHidden="1">
    <formula>'FY19 Project Request '!$A$1:$K$148</formula>
    <oldFormula>'FY19 Project Request '!$A$1:$K$148</oldFormula>
  </rdn>
  <rdn rId="0" localSheetId="1" customView="1" name="Z_A57ED495_A8F1_41AA_920B_D492B709C260_.wvu.Rows" hidden="1" oldHidden="1">
    <formula>'FY19 Project Request '!$93:$96</formula>
    <oldFormula>'FY19 Project Request '!$93:$96</oldFormula>
  </rdn>
  <rdn rId="0" localSheetId="1" customView="1" name="Z_A57ED495_A8F1_41AA_920B_D492B709C260_.wvu.FilterData" hidden="1" oldHidden="1">
    <formula>'FY19 Project Request '!$X$3:$X$12</formula>
    <oldFormula>'FY19 Project Request '!$X$3:$X$12</oldFormula>
  </rdn>
  <rdn rId="0" localSheetId="2" customView="1" name="Z_A57ED495_A8F1_41AA_920B_D492B709C260_.wvu.PrintArea" hidden="1" oldHidden="1">
    <formula>'FY19 Project Reporting'!$A$1:$K$65</formula>
    <oldFormula>'FY19 Project Reporting'!$A$1:$K$65</oldFormula>
  </rdn>
  <rdn rId="0" localSheetId="2" customView="1" name="Z_A57ED495_A8F1_41AA_920B_D492B709C260_.wvu.Cols" hidden="1" oldHidden="1">
    <formula>'FY19 Project Reporting'!$V:$AD</formula>
    <oldFormula>'FY19 Project Reporting'!$V:$AD</oldFormula>
  </rdn>
  <rdn rId="0" localSheetId="3" customView="1" name="Z_A57ED495_A8F1_41AA_920B_D492B709C260_.wvu.PrintArea" hidden="1" oldHidden="1">
    <formula>'Exhibit A'!$A$1:$K$44</formula>
    <oldFormula>'Exhibit A'!$A$1:$K$44</oldFormula>
  </rdn>
  <rdn rId="0" localSheetId="3" customView="1" name="Z_A57ED495_A8F1_41AA_920B_D492B709C260_.wvu.Cols" hidden="1" oldHidden="1">
    <formula>'Exhibit A'!$V:$AC</formula>
    <oldFormula>'Exhibit A'!$V:$AC</oldFormula>
  </rdn>
  <rdn rId="0" localSheetId="4" customView="1" name="Z_A57ED495_A8F1_41AA_920B_D492B709C260_.wvu.PrintArea" hidden="1" oldHidden="1">
    <formula>'ProjReq Instructions'!$A$1:$C$192</formula>
    <oldFormula>'ProjReq Instructions'!$A$1:$C$192</oldFormula>
  </rdn>
  <rdn rId="0" localSheetId="5" customView="1" name="Z_A57ED495_A8F1_41AA_920B_D492B709C260_.wvu.PrintArea" hidden="1" oldHidden="1">
    <formula>'ProjReport Instructions'!$A$1:$C$62</formula>
    <oldFormula>'ProjReport Instructions'!$A$1:$C$62</oldFormula>
  </rdn>
  <rdn rId="0" localSheetId="6" customView="1" name="Z_A57ED495_A8F1_41AA_920B_D492B709C260_.wvu.PrintArea" hidden="1" oldHidden="1">
    <formula>'FY19 Exhibit A - Draft'!$A$1:$K$63</formula>
    <oldFormula>'FY19 Exhibit A - Draft'!$A$1:$K$63</oldFormula>
  </rdn>
  <rdn rId="0" localSheetId="7" customView="1" name="Z_A57ED495_A8F1_41AA_920B_D492B709C260_.wvu.Rows" hidden="1" oldHidden="1">
    <formula>'End-of-Year Reconciliations'!$22:$27</formula>
    <oldFormula>'End-of-Year Reconciliations'!$22:$27</oldFormula>
  </rdn>
  <rcv guid="{A57ED495-A8F1-41AA-920B-D492B709C260}"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 sId="1">
    <nc r="C3">
      <v>19</v>
    </nc>
  </rcc>
  <rcc rId="13" sId="1">
    <nc r="C4" t="inlineStr">
      <is>
        <t>GOT</t>
      </is>
    </nc>
  </rcc>
  <rcc rId="14" sId="1">
    <nc r="C5" t="inlineStr">
      <is>
        <t>TS</t>
      </is>
    </nc>
  </rcc>
  <rcc rId="15" sId="1" numFmtId="4">
    <nc r="C6">
      <v>1</v>
    </nc>
  </rcc>
  <rcc rId="16" sId="1">
    <oc r="B11" t="inlineStr">
      <is>
        <t>(Brief, descriptive name for the project)</t>
      </is>
    </oc>
    <nc r="B11" t="inlineStr">
      <is>
        <t>Extended Sunday Service for Routes 400, 700, and 800</t>
      </is>
    </nc>
  </rcc>
  <rcc rId="17" sId="1">
    <nc r="D11" t="inlineStr">
      <is>
        <t>GoTriangle</t>
      </is>
    </nc>
  </rcc>
  <rcc rId="18" sId="1">
    <oc r="F11" t="inlineStr">
      <is>
        <t>(Contact Person)</t>
      </is>
    </oc>
    <nc r="F11" t="inlineStr">
      <is>
        <t>Erik Landfried</t>
      </is>
    </nc>
  </rcc>
  <rcc rId="19" sId="1">
    <oc r="F12" t="inlineStr">
      <is>
        <t>contact person e-mail@dogwoodnc.gov</t>
      </is>
    </oc>
    <nc r="F12" t="inlineStr">
      <is>
        <t>elandfried@gotriangle.org</t>
      </is>
    </nc>
  </rcc>
  <rcc rId="20" sId="1" numFmtId="19">
    <oc r="B14" t="inlineStr">
      <is>
        <t>MM-DD-YY</t>
      </is>
    </oc>
    <nc r="B14">
      <v>43101</v>
    </nc>
  </rcc>
  <rcc rId="21" sId="1">
    <oc r="D14" t="inlineStr">
      <is>
        <t>MM-DD-YY</t>
      </is>
    </oc>
    <nc r="D14" t="inlineStr">
      <is>
        <t>N/A</t>
      </is>
    </nc>
  </rcc>
  <rcc rId="22" sId="1">
    <oc r="B17" t="inlineStr">
      <is>
        <t>Ex.</t>
      </is>
    </oc>
    <nc r="B17" t="inlineStr">
      <is>
        <t>Sunday service on Routes 400 (Durham - Chapel Hill), 700 (Durham - RTC), and 800 (Chapel Hill - Southpoint - RTC) would be extended by two hours, to begin at about 7:00 AM and end at about 9:00 PM. This would match the span of GoDurham's local service on Sundays, and proposed span extensions for GoTriangle Routes 100 and 300.
Funding would be allocated 60% to Durham County (6.00 revenue hours per day) and 40% to Orange County (4.00 revenue hours per day).</t>
      </is>
    </nc>
  </rcc>
  <rcc rId="23" sId="1">
    <oc r="B22" t="inlineStr">
      <is>
        <t>Ex.</t>
      </is>
    </oc>
    <nc r="B22" t="inlineStr">
      <is>
        <t>Between Durham, Chapel Hill, and Research Triangle Park.</t>
      </is>
    </nc>
  </rcc>
  <rcc rId="24" sId="1">
    <oc r="D22" t="inlineStr">
      <is>
        <t>Ex.</t>
      </is>
    </oc>
    <nc r="D22" t="inlineStr">
      <is>
        <t>Triangle residents who need or want to travel by bus on Sunday.</t>
      </is>
    </nc>
  </rcc>
  <rcc rId="25" sId="1">
    <oc r="G22" t="inlineStr">
      <is>
        <t>Ex.</t>
      </is>
    </oc>
    <nc r="G22" t="inlineStr">
      <is>
        <t>Ability to connect with local transit systems for the entire span of Sunday service.</t>
      </is>
    </nc>
  </rcc>
  <rcc rId="26" sId="1">
    <oc r="X19" t="b">
      <v>0</v>
    </oc>
    <nc r="X19" t="b">
      <v>1</v>
    </nc>
  </rcc>
  <rcc rId="27" sId="1">
    <oc r="X23" t="b">
      <v>0</v>
    </oc>
    <nc r="X23" t="b">
      <v>1</v>
    </nc>
  </rcc>
  <rcc rId="28" sId="1">
    <oc r="X29" t="b">
      <v>0</v>
    </oc>
    <nc r="X29" t="b">
      <v>1</v>
    </nc>
  </rcc>
  <rcc rId="29" sId="1">
    <oc r="X33" t="b">
      <v>0</v>
    </oc>
    <nc r="X33" t="b">
      <v>1</v>
    </nc>
  </rcc>
  <rcc rId="30" sId="1">
    <oc r="X36" t="b">
      <v>0</v>
    </oc>
    <nc r="X36" t="b">
      <v>1</v>
    </nc>
  </rcc>
  <rcc rId="31" sId="1">
    <nc r="B38" t="inlineStr">
      <is>
        <t>The Adopted Plan envisioned Sunday service extending only until 7:00 PM to match the span of GoDurham's Sunday service. However, GoDurham's Sunday service was recently extended by two hours as well. Ridership on Sundays increased proportionately, and the new flexibility is popular with riders. In addition, GoRaleigh and GoCary have both extended the span of their systems' Sunday service, which generates new travel demand into Durham and Orange Counties on Sunday.
In addition, GoTriangle is considering adjusting its holiday schedule to operate Sunday service on holidays instead of Saturday service, which would allow service to be provided on more holidays. If Sunday service continued to end at 7 PM, this would be a significant reduction in span for two holidays on which GoTriangle currently operates Saturday service, and would not provide sufficient connectivity with the local systems.</t>
      </is>
    </nc>
  </rcc>
  <rcc rId="32" sId="1">
    <nc r="B43" t="inlineStr">
      <is>
        <t>Experience in many other metropolitan areas has shown that weekend days can generate similar travel demand to off-peak periods of the weekday, if equivalent service levels are provided.</t>
      </is>
    </nc>
  </rcc>
  <rcc rId="33" sId="1">
    <oc r="X41" t="b">
      <v>0</v>
    </oc>
    <nc r="X41" t="b">
      <v>1</v>
    </nc>
  </rcc>
  <rcc rId="34" sId="1">
    <nc r="B45" t="inlineStr">
      <is>
        <t>Regional transit service would continue to end earlier than the local systems, limiting potential trips. If a person lives in Durham, the last bus to their house might depart Durham Station at 9:00 PM, but they would have to conclude any business in Raleigh by 5:40 PM in order to have service back to Durham Station. Extending the span for two hours would allow this person to stay in Raleigh until 7:40 PM.</t>
      </is>
    </nc>
  </rcc>
  <rcc rId="35" sId="1">
    <nc r="B48" t="inlineStr">
      <is>
        <t>TS-Average Daily Ridership</t>
      </is>
    </nc>
  </rcc>
  <rcc rId="36" sId="1">
    <nc r="B49" t="inlineStr">
      <is>
        <t>TS-Passengers per Hour</t>
      </is>
    </nc>
  </rcc>
  <rcc rId="37" sId="1">
    <nc r="B50" t="inlineStr">
      <is>
        <t>TS-Revenue Hours of Service Provided</t>
      </is>
    </nc>
  </rcc>
  <rcc rId="38" sId="1">
    <oc r="D48" t="inlineStr">
      <is>
        <t>Describe</t>
      </is>
    </oc>
    <nc r="D48" t="inlineStr">
      <is>
        <t>The average number of riders on Routes 400, 700, and 800 each Sunday.</t>
      </is>
    </nc>
  </rcc>
  <rcc rId="39" sId="1">
    <oc r="D49" t="inlineStr">
      <is>
        <t>Describe</t>
      </is>
    </oc>
    <nc r="D49" t="inlineStr">
      <is>
        <t>The number of passenger trips provided per revenue hour by Routes 400, 700, and 800 on Sunday.</t>
      </is>
    </nc>
  </rcc>
  <rcc rId="40" sId="1">
    <oc r="D50" t="inlineStr">
      <is>
        <t>Describe</t>
      </is>
    </oc>
    <nc r="D50" t="inlineStr">
      <is>
        <t>The total number of revenue hours provided through this Tax District investment.</t>
      </is>
    </nc>
  </rcc>
  <rcc rId="41" sId="1">
    <nc r="B63" t="inlineStr">
      <is>
        <t>Ridership on Sundays is expected to increase once this project is implemented.</t>
      </is>
    </nc>
  </rcc>
  <rcc rId="42" sId="1" odxf="1" dxf="1" numFmtId="19">
    <nc r="F66">
      <v>42736</v>
    </nc>
    <odxf>
      <numFmt numFmtId="0" formatCode="General"/>
    </odxf>
    <ndxf>
      <numFmt numFmtId="19" formatCode="m/d/yyyy"/>
    </ndxf>
  </rcc>
  <rcc rId="43" sId="1">
    <nc r="F67" t="inlineStr">
      <is>
        <t>7:00 AM - 8:55 PM</t>
      </is>
    </nc>
  </rcc>
  <rcc rId="44" sId="1">
    <nc r="F68" t="inlineStr">
      <is>
        <t>Every 60 minutes</t>
      </is>
    </nc>
  </rcc>
  <rcc rId="45" sId="1">
    <nc r="F69" t="inlineStr">
      <is>
        <t>Existing GoTriangle vehicles</t>
      </is>
    </nc>
  </rcc>
  <rcc rId="46" sId="1">
    <nc r="F70" t="inlineStr">
      <is>
        <t>Durham Station, Regional Transit Center, and UNC Hospitals</t>
      </is>
    </nc>
  </rcc>
  <rcc rId="47" sId="1">
    <nc r="F71" t="inlineStr">
      <is>
        <t>Downtown Durham, Duke University, Patterson Place, Downtown Chapel Hill, UNC, Southpoint, Research Triangle Park</t>
      </is>
    </nc>
  </rcc>
  <rcc rId="48" sId="1">
    <nc r="F72" t="inlineStr">
      <is>
        <t>67.41 per Sunday (10.00 from this project request)</t>
      </is>
    </nc>
  </rcc>
  <rcc rId="49" sId="1">
    <nc r="B75" t="inlineStr">
      <is>
        <t>GoTriangle will operate this expansion. It will provide additional trip opportunities for passengers on Sundays.</t>
      </is>
    </nc>
  </rcc>
  <rcc rId="50" sId="1" numFmtId="34">
    <nc r="D117">
      <v>122</v>
    </nc>
  </rcc>
  <rcc rId="51" sId="1" numFmtId="34">
    <nc r="E117">
      <v>125</v>
    </nc>
  </rcc>
  <rcc rId="52" sId="1" numFmtId="34">
    <nc r="D116">
      <v>540</v>
    </nc>
  </rcc>
  <rcc rId="53" sId="1" numFmtId="34">
    <nc r="E116">
      <v>600</v>
    </nc>
  </rcc>
  <rfmt sheetId="1" sqref="D116:J116">
    <dxf>
      <numFmt numFmtId="35" formatCode="_(* #,##0.00_);_(* \(#,##0.00\);_(* &quot;-&quot;??_);_(@_)"/>
    </dxf>
  </rfmt>
  <rcc rId="54" sId="1">
    <nc r="B145" t="inlineStr">
      <is>
        <t>The service is proposed to operate for 28 Sundays and holidays in FY 2019 (including New Year's Day, MLK, Jr. Day, and Memorial Day as proposed by Project 19GOT_TS3) and 60 Sundays and holidays in FY 2020.</t>
      </is>
    </nc>
  </rcc>
  <rdn rId="0" localSheetId="1" customView="1" name="Z_E4FCC8BB_C0B4_400B_AC63_5FBAF2D4221B_.wvu.PrintArea" hidden="1" oldHidden="1">
    <formula>'FY19 Project Request '!$A$1:$K$148</formula>
  </rdn>
  <rdn rId="0" localSheetId="1" customView="1" name="Z_E4FCC8BB_C0B4_400B_AC63_5FBAF2D4221B_.wvu.Rows" hidden="1" oldHidden="1">
    <formula>'FY19 Project Request '!$93:$96</formula>
  </rdn>
  <rdn rId="0" localSheetId="1" customView="1" name="Z_E4FCC8BB_C0B4_400B_AC63_5FBAF2D4221B_.wvu.FilterData" hidden="1" oldHidden="1">
    <formula>'FY19 Project Request '!$X$3:$X$12</formula>
  </rdn>
  <rdn rId="0" localSheetId="2" customView="1" name="Z_E4FCC8BB_C0B4_400B_AC63_5FBAF2D4221B_.wvu.PrintArea" hidden="1" oldHidden="1">
    <formula>'FY19 Project Reporting'!$A$1:$K$65</formula>
  </rdn>
  <rdn rId="0" localSheetId="2" customView="1" name="Z_E4FCC8BB_C0B4_400B_AC63_5FBAF2D4221B_.wvu.Cols" hidden="1" oldHidden="1">
    <formula>'FY19 Project Reporting'!$V:$AD</formula>
  </rdn>
  <rdn rId="0" localSheetId="3" customView="1" name="Z_E4FCC8BB_C0B4_400B_AC63_5FBAF2D4221B_.wvu.PrintArea" hidden="1" oldHidden="1">
    <formula>'Exhibit A'!$A$1:$K$44</formula>
  </rdn>
  <rdn rId="0" localSheetId="3" customView="1" name="Z_E4FCC8BB_C0B4_400B_AC63_5FBAF2D4221B_.wvu.Cols" hidden="1" oldHidden="1">
    <formula>'Exhibit A'!$V:$AC</formula>
  </rdn>
  <rdn rId="0" localSheetId="4" customView="1" name="Z_E4FCC8BB_C0B4_400B_AC63_5FBAF2D4221B_.wvu.PrintArea" hidden="1" oldHidden="1">
    <formula>'ProjReq Instructions'!$A$1:$C$192</formula>
  </rdn>
  <rdn rId="0" localSheetId="5" customView="1" name="Z_E4FCC8BB_C0B4_400B_AC63_5FBAF2D4221B_.wvu.PrintArea" hidden="1" oldHidden="1">
    <formula>'ProjReport Instructions'!$A$1:$C$62</formula>
  </rdn>
  <rdn rId="0" localSheetId="6" customView="1" name="Z_E4FCC8BB_C0B4_400B_AC63_5FBAF2D4221B_.wvu.PrintArea" hidden="1" oldHidden="1">
    <formula>'FY19 Exhibit A - Draft'!$A$1:$K$63</formula>
  </rdn>
  <rdn rId="0" localSheetId="7" customView="1" name="Z_E4FCC8BB_C0B4_400B_AC63_5FBAF2D4221B_.wvu.Rows" hidden="1" oldHidden="1">
    <formula>'End-of-Year Reconciliations'!$22:$27</formula>
  </rdn>
  <rcv guid="{E4FCC8BB-C0B4-400B-AC63-5FBAF2D4221B}"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 sId="1">
    <oc r="B145" t="inlineStr">
      <is>
        <t>The service is proposed to operate for 28 Sundays and holidays in FY 2019 (including New Year's Day, MLK, Jr. Day, and Memorial Day as proposed by Project 19GOT_TS3) and 60 Sundays and holidays in FY 2020.</t>
      </is>
    </oc>
    <nc r="B145" t="inlineStr">
      <is>
        <t>The service is proposed to operate for 28 Sundays and holidays in FY 2019 (including New Year's Day, Dr. Martin Luther King, Jr.'s Birthday, and Memorial Day as proposed by Project 19GOT_TS3) and 60 Sundays and holidays in FY 2020 (including Independence Day, Labor Day, the Day after Thanksgiving, Christmas Eve, and the three mentioned previously).</t>
      </is>
    </nc>
  </rcc>
  <rcc rId="67" sId="1" numFmtId="34">
    <oc r="D116">
      <v>540</v>
    </oc>
    <nc r="D116">
      <v>280</v>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E4FCC8BB-C0B4-400B-AC63-5FBAF2D4221B}" action="delete"/>
  <rdn rId="0" localSheetId="1" customView="1" name="Z_E4FCC8BB_C0B4_400B_AC63_5FBAF2D4221B_.wvu.PrintArea" hidden="1" oldHidden="1">
    <formula>'FY19 Project Request '!$A$1:$K$148</formula>
    <oldFormula>'FY19 Project Request '!$A$1:$K$148</oldFormula>
  </rdn>
  <rdn rId="0" localSheetId="1" customView="1" name="Z_E4FCC8BB_C0B4_400B_AC63_5FBAF2D4221B_.wvu.Rows" hidden="1" oldHidden="1">
    <formula>'FY19 Project Request '!$55:$58,'FY19 Project Request '!$77:$79,'FY19 Project Request '!$93:$96,'FY19 Project Request '!$130:$140</formula>
    <oldFormula>'FY19 Project Request '!$93:$96</oldFormula>
  </rdn>
  <rdn rId="0" localSheetId="1" customView="1" name="Z_E4FCC8BB_C0B4_400B_AC63_5FBAF2D4221B_.wvu.FilterData" hidden="1" oldHidden="1">
    <formula>'FY19 Project Request '!$X$3:$X$12</formula>
    <oldFormula>'FY19 Project Request '!$X$3:$X$12</oldFormula>
  </rdn>
  <rdn rId="0" localSheetId="2" customView="1" name="Z_E4FCC8BB_C0B4_400B_AC63_5FBAF2D4221B_.wvu.PrintArea" hidden="1" oldHidden="1">
    <formula>'FY19 Project Reporting'!$A$1:$K$65</formula>
    <oldFormula>'FY19 Project Reporting'!$A$1:$K$65</oldFormula>
  </rdn>
  <rdn rId="0" localSheetId="2" customView="1" name="Z_E4FCC8BB_C0B4_400B_AC63_5FBAF2D4221B_.wvu.Cols" hidden="1" oldHidden="1">
    <formula>'FY19 Project Reporting'!$V:$AD</formula>
    <oldFormula>'FY19 Project Reporting'!$V:$AD</oldFormula>
  </rdn>
  <rdn rId="0" localSheetId="3" customView="1" name="Z_E4FCC8BB_C0B4_400B_AC63_5FBAF2D4221B_.wvu.PrintArea" hidden="1" oldHidden="1">
    <formula>'Exhibit A'!$A$1:$K$44</formula>
    <oldFormula>'Exhibit A'!$A$1:$K$44</oldFormula>
  </rdn>
  <rdn rId="0" localSheetId="3" customView="1" name="Z_E4FCC8BB_C0B4_400B_AC63_5FBAF2D4221B_.wvu.Cols" hidden="1" oldHidden="1">
    <formula>'Exhibit A'!$V:$AC</formula>
    <oldFormula>'Exhibit A'!$V:$AC</oldFormula>
  </rdn>
  <rdn rId="0" localSheetId="4" customView="1" name="Z_E4FCC8BB_C0B4_400B_AC63_5FBAF2D4221B_.wvu.PrintArea" hidden="1" oldHidden="1">
    <formula>'ProjReq Instructions'!$A$1:$C$192</formula>
    <oldFormula>'ProjReq Instructions'!$A$1:$C$192</oldFormula>
  </rdn>
  <rdn rId="0" localSheetId="5" customView="1" name="Z_E4FCC8BB_C0B4_400B_AC63_5FBAF2D4221B_.wvu.PrintArea" hidden="1" oldHidden="1">
    <formula>'ProjReport Instructions'!$A$1:$C$62</formula>
    <oldFormula>'ProjReport Instructions'!$A$1:$C$62</oldFormula>
  </rdn>
  <rdn rId="0" localSheetId="6" customView="1" name="Z_E4FCC8BB_C0B4_400B_AC63_5FBAF2D4221B_.wvu.PrintArea" hidden="1" oldHidden="1">
    <formula>'FY19 Exhibit A - Draft'!$A$1:$K$63</formula>
    <oldFormula>'FY19 Exhibit A - Draft'!$A$1:$K$63</oldFormula>
  </rdn>
  <rdn rId="0" localSheetId="7" customView="1" name="Z_E4FCC8BB_C0B4_400B_AC63_5FBAF2D4221B_.wvu.Rows" hidden="1" oldHidden="1">
    <formula>'End-of-Year Reconciliations'!$22:$27</formula>
    <oldFormula>'End-of-Year Reconciliations'!$22:$27</oldFormula>
  </rdn>
  <rcv guid="{E4FCC8BB-C0B4-400B-AC63-5FBAF2D4221B}"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9" sId="1" numFmtId="4">
    <oc r="C6">
      <v>1</v>
    </oc>
    <nc r="C6">
      <v>2</v>
    </nc>
  </rcc>
  <rcc rId="80" sId="1">
    <oc r="B11" t="inlineStr">
      <is>
        <t>Extended Sunday Service for Routes 400, 700, and 800</t>
      </is>
    </oc>
    <nc r="B11" t="inlineStr">
      <is>
        <t>Raleigh-Durham Express, Additional Frequency</t>
      </is>
    </nc>
  </rcc>
  <rcc rId="81" sId="1" numFmtId="19">
    <oc r="B14">
      <v>43101</v>
    </oc>
    <nc r="B14">
      <v>43318</v>
    </nc>
  </rcc>
  <rcc rId="82" sId="1">
    <oc r="B17" t="inlineStr">
      <is>
        <t>Sunday service on Routes 400 (Durham - Chapel Hill), 700 (Durham - RTC), and 800 (Chapel Hill - Southpoint - RTC) would be extended by two hours, to begin at about 7:00 AM and end at about 9:00 PM. This would match the span of GoDurham's local service on Sundays, and proposed span extensions for GoTriangle Routes 100 and 300.
Funding would be allocated 60% to Durham County (6.00 revenue hours per day) and 40% to Orange County (4.00 revenue hours per day).</t>
      </is>
    </oc>
    <nc r="B17" t="inlineStr">
      <is>
        <t>Route DRX would have additional time and trips added, to provide service every 30 minutes or better during AM and PM peak periods. Currently, frequencies vary between 30 and 45 minutes. A precise schedule is still to be determined once the exact number of revenue hours and vehicles available is ascertained.
Improvements to Route DRX are charged 50% to Durham County and 50% to Wake County in the Triangle Tax District.</t>
      </is>
    </nc>
  </rcc>
  <rcc rId="83" sId="1">
    <oc r="B22" t="inlineStr">
      <is>
        <t>Between Durham, Chapel Hill, and Research Triangle Park.</t>
      </is>
    </oc>
    <nc r="B22" t="inlineStr">
      <is>
        <t>From Duke &amp; VA Hospitals to GoRaleigh Station via NC-147, I-40, Wade Ave, and Hillsborough St.</t>
      </is>
    </nc>
  </rcc>
  <rcc rId="84" sId="1">
    <oc r="D22" t="inlineStr">
      <is>
        <t>Triangle residents who need or want to travel by bus on Sunday.</t>
      </is>
    </oc>
    <nc r="D22" t="inlineStr">
      <is>
        <t>Triangle residents who commute between Raleigh and Durham, in either direction.</t>
      </is>
    </nc>
  </rcc>
  <rcc rId="85" sId="1">
    <oc r="G22" t="inlineStr">
      <is>
        <t>Ability to connect with local transit systems for the entire span of Sunday service.</t>
      </is>
    </oc>
    <nc r="G22" t="inlineStr">
      <is>
        <t>Additional frequency, reduced crowding, and improved reliability.</t>
      </is>
    </nc>
  </rcc>
  <rcc rId="86" sId="1">
    <oc r="X35" t="b">
      <v>0</v>
    </oc>
    <nc r="X35" t="b">
      <v>1</v>
    </nc>
  </rcc>
  <rcc rId="87" sId="1">
    <oc r="X36" t="b">
      <v>1</v>
    </oc>
    <nc r="X36" t="b">
      <v>0</v>
    </nc>
  </rcc>
  <rcc rId="88" sId="1">
    <oc r="B38" t="inlineStr">
      <is>
        <t>The Adopted Plan envisioned Sunday service extending only until 7:00 PM to match the span of GoDurham's Sunday service. However, GoDurham's Sunday service was recently extended by two hours as well. Ridership on Sundays increased proportionately, and the new flexibility is popular with riders. In addition, GoRaleigh and GoCary have both extended the span of their systems' Sunday service, which generates new travel demand into Durham and Orange Counties on Sunday.
In addition, GoTriangle is considering adjusting its holiday schedule to operate Sunday service on holidays instead of Saturday service, which would allow service to be provided on more holidays. If Sunday service continued to end at 7 PM, this would be a significant reduction in span for two holidays on which GoTriangle currently operates Saturday service, and would not provide sufficient connectivity with the local systems.</t>
      </is>
    </oc>
    <nc r="B38" t="inlineStr">
      <is>
        <t>Enhancements to Route DRX, up to 30-minute peak frequency, were specifically selected as a regional project in the Transit Plan. Unfortunately, improving service to every 30 minutes requires more revenue hours than originally anticipated, and 30-minute service is not enough to accommodate the ridership demand on the route.</t>
      </is>
    </nc>
  </rcc>
  <rcc rId="89" sId="1">
    <oc r="B43" t="inlineStr">
      <is>
        <t>Experience in many other metropolitan areas has shown that weekend days can generate similar travel demand to off-peak periods of the weekday, if equivalent service levels are provided.</t>
      </is>
    </oc>
    <nc r="B43" t="inlineStr">
      <is>
        <t>Route DRX has consistently been a high-performing route, and continued residential and job growth in downtown Durham, downtown Raleigh, Duke University, and NC State University will increase demand even further.</t>
      </is>
    </nc>
  </rcc>
  <rcc rId="90" sId="1">
    <oc r="B45" t="inlineStr">
      <is>
        <t>Regional transit service would continue to end earlier than the local systems, limiting potential trips. If a person lives in Durham, the last bus to their house might depart Durham Station at 9:00 PM, but they would have to conclude any business in Raleigh by 5:40 PM in order to have service back to Durham Station. Extending the span for two hours would allow this person to stay in Raleigh until 7:40 PM.</t>
      </is>
    </oc>
    <nc r="B45" t="inlineStr">
      <is>
        <t>A few revenue hours are available from Wake County funds in the Triangle Tax District to provide limited reliability improvements and overcrowding relief on Route DRX. However, this would not be enough to completely ameliorate reliability issues or provide meaningful increase in service levels.</t>
      </is>
    </nc>
  </rcc>
  <rcc rId="91" sId="1">
    <oc r="D48" t="inlineStr">
      <is>
        <t>The average number of riders on Routes 400, 700, and 800 each Sunday.</t>
      </is>
    </oc>
    <nc r="D48" t="inlineStr">
      <is>
        <t>The average number of riders on Routes DRX each weekday.</t>
      </is>
    </nc>
  </rcc>
  <rcc rId="92" sId="1">
    <oc r="D49" t="inlineStr">
      <is>
        <t>The number of passenger trips provided per revenue hour by Routes 400, 700, and 800 on Sunday.</t>
      </is>
    </oc>
    <nc r="D49" t="inlineStr">
      <is>
        <t>The number of passenger trips provided per revenue hour by Routes DRX.</t>
      </is>
    </nc>
  </rcc>
  <rcc rId="93" sId="1">
    <oc r="B63" t="inlineStr">
      <is>
        <t>Ridership on Sundays is expected to increase once this project is implemented.</t>
      </is>
    </oc>
    <nc r="B63" t="inlineStr">
      <is>
        <t>Ridership and on-time performance are expected to increase, and crowding is expected to decrease, once this project is implemented.</t>
      </is>
    </nc>
  </rcc>
  <rcc rId="94" sId="1" numFmtId="19">
    <oc r="F66">
      <v>42736</v>
    </oc>
    <nc r="F66">
      <v>42953</v>
    </nc>
  </rcc>
  <rcc rId="95" sId="1">
    <oc r="F67" t="inlineStr">
      <is>
        <t>7:00 AM - 8:55 PM</t>
      </is>
    </oc>
    <nc r="F67" t="inlineStr">
      <is>
        <t>5:50 AM - 9:50 AM and 3:10 - 7:10 PM, weekdays only</t>
      </is>
    </nc>
  </rcc>
  <rcc rId="96" sId="1">
    <oc r="F68" t="inlineStr">
      <is>
        <t>Every 60 minutes</t>
      </is>
    </oc>
    <nc r="F68" t="inlineStr">
      <is>
        <t>Every 30 minutes or better</t>
      </is>
    </nc>
  </rcc>
  <rcc rId="97" sId="1">
    <oc r="F69" t="inlineStr">
      <is>
        <t>Existing GoTriangle vehicles</t>
      </is>
    </oc>
    <nc r="F69" t="inlineStr">
      <is>
        <t>Vehicles already owned by GoTriangle</t>
      </is>
    </nc>
  </rcc>
  <rcc rId="98" sId="1">
    <oc r="F70" t="inlineStr">
      <is>
        <t>Durham Station, Regional Transit Center, and UNC Hospitals</t>
      </is>
    </oc>
    <nc r="F70" t="inlineStr">
      <is>
        <t>GoRaleigh Station - Duke &amp; VA Hospitals</t>
      </is>
    </nc>
  </rcc>
  <rcc rId="99" sId="1">
    <oc r="F71" t="inlineStr">
      <is>
        <t>Downtown Durham, Duke University, Patterson Place, Downtown Chapel Hill, UNC, Southpoint, Research Triangle Park</t>
      </is>
    </oc>
    <nc r="F71" t="inlineStr">
      <is>
        <t>Duke University, downtown Durham, NC State University, downtown Raleigh</t>
      </is>
    </nc>
  </rcc>
  <rcc rId="100" sId="1">
    <oc r="F72" t="inlineStr">
      <is>
        <t>67.41 per Sunday (10.00 from this project request)</t>
      </is>
    </oc>
    <nc r="F72" t="inlineStr">
      <is>
        <t>Up to 51.01 per weekday (up to 11.04 from Durham Co. in this request)</t>
      </is>
    </nc>
  </rcc>
  <rcc rId="101" sId="1">
    <oc r="B75" t="inlineStr">
      <is>
        <t>GoTriangle will operate this expansion. It will provide additional trip opportunities for passengers on Sundays.</t>
      </is>
    </oc>
    <nc r="B75" t="inlineStr">
      <is>
        <t>GoTriangle will operate this expansion. It will provide additional frequency for passengers, improve on-time performance, and relieve crowding.</t>
      </is>
    </nc>
  </rcc>
  <rcc rId="102" sId="1">
    <oc r="B100" t="inlineStr">
      <is>
        <t xml:space="preserve">  Other (Describe)</t>
      </is>
    </oc>
    <nc r="B100" t="inlineStr">
      <is>
        <t xml:space="preserve">   Wake County Tax Revenue</t>
      </is>
    </nc>
  </rcc>
  <rcc rId="103" sId="1" numFmtId="34">
    <oc r="D116">
      <v>280</v>
    </oc>
    <nc r="D116">
      <v>5854</v>
    </nc>
  </rcc>
  <rcc rId="104" sId="1" numFmtId="34">
    <oc r="E116">
      <v>600</v>
    </oc>
    <nc r="E116">
      <v>6473</v>
    </nc>
  </rcc>
  <rcc rId="105" sId="1" odxf="1" dxf="1">
    <nc r="D100">
      <f>(14.47/25.79)*D116*D117</f>
    </nc>
    <odxf>
      <numFmt numFmtId="34" formatCode="_(&quot;$&quot;* #,##0.00_);_(&quot;$&quot;* \(#,##0.00\);_(&quot;$&quot;* &quot;-&quot;??_);_(@_)"/>
    </odxf>
    <ndxf>
      <numFmt numFmtId="166" formatCode="_(* #,##0_);_(* \(#,##0\);_(* &quot;-&quot;??_);_(@_)"/>
    </ndxf>
  </rcc>
  <rcc rId="106" sId="1" odxf="1" dxf="1">
    <nc r="E100">
      <f>(14.47/25.79)*E116*E117</f>
    </nc>
    <odxf>
      <numFmt numFmtId="34" formatCode="_(&quot;$&quot;* #,##0.00_);_(&quot;$&quot;* \(#,##0.00\);_(&quot;$&quot;* &quot;-&quot;??_);_(@_)"/>
    </odxf>
    <ndxf>
      <numFmt numFmtId="166" formatCode="_(* #,##0_);_(* \(#,##0\);_(* &quot;-&quot;??_);_(@_)"/>
    </ndxf>
  </rcc>
  <rcc rId="107" sId="1" odxf="1" dxf="1">
    <nc r="F100">
      <f>(14.47/25.79)*F116*F117</f>
    </nc>
    <odxf>
      <numFmt numFmtId="34" formatCode="_(&quot;$&quot;* #,##0.00_);_(&quot;$&quot;* \(#,##0.00\);_(&quot;$&quot;* &quot;-&quot;??_);_(@_)"/>
    </odxf>
    <ndxf>
      <numFmt numFmtId="166" formatCode="_(* #,##0_);_(* \(#,##0\);_(* &quot;-&quot;??_);_(@_)"/>
    </ndxf>
  </rcc>
  <rcc rId="108" sId="1" odxf="1" dxf="1">
    <nc r="G100">
      <f>(14.47/25.79)*G116*G117</f>
    </nc>
    <odxf>
      <numFmt numFmtId="34" formatCode="_(&quot;$&quot;* #,##0.00_);_(&quot;$&quot;* \(#,##0.00\);_(&quot;$&quot;* &quot;-&quot;??_);_(@_)"/>
    </odxf>
    <ndxf>
      <numFmt numFmtId="166" formatCode="_(* #,##0_);_(* \(#,##0\);_(* &quot;-&quot;??_);_(@_)"/>
    </ndxf>
  </rcc>
  <rcc rId="109" sId="1" odxf="1" dxf="1">
    <nc r="H100">
      <f>(14.47/25.79)*H116*H117</f>
    </nc>
    <odxf>
      <numFmt numFmtId="34" formatCode="_(&quot;$&quot;* #,##0.00_);_(&quot;$&quot;* \(#,##0.00\);_(&quot;$&quot;* &quot;-&quot;??_);_(@_)"/>
    </odxf>
    <ndxf>
      <numFmt numFmtId="166" formatCode="_(* #,##0_);_(* \(#,##0\);_(* &quot;-&quot;??_);_(@_)"/>
    </ndxf>
  </rcc>
  <rcc rId="110" sId="1" odxf="1" dxf="1">
    <nc r="I100">
      <f>(14.47/25.79)*I116*I117</f>
    </nc>
    <odxf>
      <numFmt numFmtId="34" formatCode="_(&quot;$&quot;* #,##0.00_);_(&quot;$&quot;* \(#,##0.00\);_(&quot;$&quot;* &quot;-&quot;??_);_(@_)"/>
    </odxf>
    <ndxf>
      <numFmt numFmtId="166" formatCode="_(* #,##0_);_(* \(#,##0\);_(* &quot;-&quot;??_);_(@_)"/>
    </ndxf>
  </rcc>
  <rcc rId="111" sId="1">
    <oc r="B145" t="inlineStr">
      <is>
        <t>The service is proposed to operate for 28 Sundays and holidays in FY 2019 (including New Year's Day, Dr. Martin Luther King, Jr.'s Birthday, and Memorial Day as proposed by Project 19GOT_TS3) and 60 Sundays and holidays in FY 2020 (including Independence Day, Labor Day, the Day after Thanksgiving, Christmas Eve, and the three mentioned previously).</t>
      </is>
    </oc>
    <nc r="B145" t="inlineStr">
      <is>
        <t>The service is proposed to operate for 227 weekdays in FY 2019 and 251 in FY 2020. The number of revenue hours shown is the maximum anticipated investment from Durham County. If a schedule with 51.01 revenue hours cannot be operated with the number of vehicles available, or if additional bus operating projects are selected in Durham County, the cost of this budget request would be reduced.</t>
      </is>
    </nc>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2" sId="1">
    <oc r="B145" t="inlineStr">
      <is>
        <t>The service is proposed to operate for 227 weekdays in FY 2019 and 251 in FY 2020. The number of revenue hours shown is the maximum anticipated investment from Durham County. If a schedule with 51.01 revenue hours cannot be operated with the number of vehicles available, or if additional bus operating projects are selected in Durham County, the cost of this budget request would be reduced.</t>
      </is>
    </oc>
    <nc r="B145" t="inlineStr">
      <is>
        <t>The service is proposed to operate for 227 weekdays in FY 2019 and 251 in FY 2020. The number of revenue hours shown is the maximum anticipated investment from Durham County. If a schedule with 51.01 revenue hours cannot be operated with the number of vehicles available, or if additional bus operating projects are prioritized in Durham County, the cost of this budget request would be reduced.</t>
      </is>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13" sId="1" ref="A100:XFD100" action="insertRow">
    <undo index="6" exp="area" ref3D="1" dr="$A$130:$XFD$140" dn="Z_E4FCC8BB_C0B4_400B_AC63_5FBAF2D4221B_.wvu.Rows" sId="1"/>
  </rrc>
  <rfmt sheetId="1" s="1" sqref="B100" start="0" length="0">
    <dxf>
      <numFmt numFmtId="166" formatCode="_(* #,##0_);_(* \(#,##0\);_(* &quot;-&quot;??_);_(@_)"/>
      <fill>
        <patternFill patternType="solid">
          <bgColor theme="9" tint="0.79998168889431442"/>
        </patternFill>
      </fill>
      <alignment wrapText="0" readingOrder="0"/>
    </dxf>
  </rfmt>
  <rfmt sheetId="1" sqref="D100" start="0" length="0">
    <dxf>
      <numFmt numFmtId="166" formatCode="_(* #,##0_);_(* \(#,##0\);_(* &quot;-&quot;??_);_(@_)"/>
    </dxf>
  </rfmt>
  <rfmt sheetId="1" sqref="E100" start="0" length="0">
    <dxf>
      <numFmt numFmtId="166" formatCode="_(* #,##0_);_(* \(#,##0\);_(* &quot;-&quot;??_);_(@_)"/>
    </dxf>
  </rfmt>
  <rfmt sheetId="1" sqref="F100" start="0" length="0">
    <dxf>
      <numFmt numFmtId="166" formatCode="_(* #,##0_);_(* \(#,##0\);_(* &quot;-&quot;??_);_(@_)"/>
    </dxf>
  </rfmt>
  <rfmt sheetId="1" sqref="G100" start="0" length="0">
    <dxf>
      <numFmt numFmtId="166" formatCode="_(* #,##0_);_(* \(#,##0\);_(* &quot;-&quot;??_);_(@_)"/>
    </dxf>
  </rfmt>
  <rfmt sheetId="1" sqref="H100" start="0" length="0">
    <dxf>
      <numFmt numFmtId="166" formatCode="_(* #,##0_);_(* \(#,##0\);_(* &quot;-&quot;??_);_(@_)"/>
    </dxf>
  </rfmt>
  <rfmt sheetId="1" sqref="I100" start="0" length="0">
    <dxf>
      <numFmt numFmtId="166" formatCode="_(* #,##0_);_(* \(#,##0\);_(* &quot;-&quot;??_);_(@_)"/>
    </dxf>
  </rfmt>
  <rcc rId="114" sId="1">
    <nc r="J100">
      <f>SUM(D100:I100)</f>
    </nc>
  </rcc>
  <rcc rId="115" sId="1">
    <nc r="B100" t="inlineStr">
      <is>
        <t>Farebox Revenue</t>
      </is>
    </nc>
  </rcc>
  <rfmt sheetId="1" sqref="C100">
    <dxf>
      <fill>
        <patternFill patternType="solid">
          <bgColor theme="9" tint="0.79998168889431442"/>
        </patternFill>
      </fill>
    </dxf>
  </rfmt>
  <rcc rId="116" sId="1">
    <nc r="D100">
      <f>D119*0.1</f>
    </nc>
  </rcc>
  <rcc rId="117" sId="1">
    <nc r="E100">
      <f>E119*0.125</f>
    </nc>
  </rcc>
  <rcc rId="118" sId="1">
    <nc r="F100">
      <f>F119*0.15</f>
    </nc>
  </rcc>
  <rcc rId="119" sId="1">
    <nc r="G100">
      <f>G119*0.175</f>
    </nc>
  </rcc>
  <rcc rId="120" sId="1">
    <nc r="H100">
      <f>H119*0.2</f>
    </nc>
  </rcc>
  <rcc rId="121" sId="1">
    <nc r="I100">
      <f>I119*0.2</f>
    </nc>
  </rcc>
  <rcc rId="122" sId="1">
    <oc r="D101">
      <f>(14.47/25.79)*D117*D118</f>
    </oc>
    <nc r="D101">
      <f>(14.47/25.79)*(D117*D118-D100)</f>
    </nc>
  </rcc>
  <rcc rId="123" sId="1">
    <oc r="E101">
      <f>(14.47/25.79)*E117*E118</f>
    </oc>
    <nc r="E101">
      <f>(14.47/25.79)*(E117*E118-E100)</f>
    </nc>
  </rcc>
  <rcc rId="124" sId="1">
    <oc r="F101">
      <f>(14.47/25.79)*F117*F118</f>
    </oc>
    <nc r="F101">
      <f>(14.47/25.79)*(F117*F118-F100)</f>
    </nc>
  </rcc>
  <rcc rId="125" sId="1">
    <oc r="G101">
      <f>(14.47/25.79)*G117*G118</f>
    </oc>
    <nc r="G101">
      <f>(14.47/25.79)*(G117*G118-G100)</f>
    </nc>
  </rcc>
  <rcc rId="126" sId="1">
    <oc r="H101">
      <f>(14.47/25.79)*H117*H118</f>
    </oc>
    <nc r="H101">
      <f>(14.47/25.79)*(H117*H118-H100)</f>
    </nc>
  </rcc>
  <rcc rId="127" sId="1">
    <oc r="I101">
      <f>(14.47/25.79)*I117*I118</f>
    </oc>
    <nc r="I101">
      <f>(14.47/25.79)*(I117*I118-I100)</f>
    </nc>
  </rcc>
  <rfmt sheetId="1" sqref="D101">
    <dxf>
      <numFmt numFmtId="175" formatCode="_(* #,##0.0_);_(* \(#,##0.0\);_(* &quot;-&quot;??_);_(@_)"/>
    </dxf>
  </rfmt>
  <rfmt sheetId="1" sqref="D101">
    <dxf>
      <numFmt numFmtId="166" formatCode="_(* #,##0_);_(* \(#,##0\);_(* &quot;-&quot;??_);_(@_)"/>
    </dxf>
  </rfmt>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1" sId="1">
    <oc r="D101">
      <f>(14.47/25.79)*(D117*D118-SUM(D98:D100))</f>
    </oc>
    <nc r="D101">
      <f>(14.47/25.79)*(D117*D118)</f>
    </nc>
  </rcc>
  <rcc rId="152" sId="1">
    <oc r="E101">
      <f>(14.47/25.79)*(E117*E118-SUM(E98:E100))</f>
    </oc>
    <nc r="E101">
      <f>(14.47/25.79)*(E117*E118)</f>
    </nc>
  </rcc>
  <rcc rId="153" sId="1">
    <oc r="F101">
      <f>(14.47/25.79)*(F117*F118-SUM(F98:F100))</f>
    </oc>
    <nc r="F101">
      <f>(14.47/25.79)*(F117*F118)</f>
    </nc>
  </rcc>
  <rcc rId="154" sId="1">
    <oc r="G101">
      <f>(14.47/25.79)*(G117*G118-SUM(G98:G100))</f>
    </oc>
    <nc r="G101">
      <f>(14.47/25.79)*(G117*G118)</f>
    </nc>
  </rcc>
  <rcc rId="155" sId="1">
    <oc r="H101">
      <f>(14.47/25.79)*(H117*H118-SUM(H98:H100))</f>
    </oc>
    <nc r="H101">
      <f>(14.47/25.79)*(H117*H118)</f>
    </nc>
  </rcc>
  <rcc rId="156" sId="1">
    <oc r="I101">
      <f>(14.47/25.79)*(I117*I118-SUM(I98:I100))</f>
    </oc>
    <nc r="I101">
      <f>(14.47/25.79)*(I117*I118)</f>
    </nc>
  </rcc>
  <rcc rId="157" sId="1">
    <oc r="B101" t="inlineStr">
      <is>
        <t xml:space="preserve">   Wake County Tax Revenue</t>
      </is>
    </oc>
    <nc r="B101" t="inlineStr">
      <is>
        <t xml:space="preserve">   Wake County (incl. farebox &amp; state)</t>
      </is>
    </nc>
  </rcc>
  <rcc rId="158" sId="1">
    <oc r="D99">
      <f>D119*0.1</f>
    </oc>
    <nc r="D99">
      <f>(D119-D101)*0.1</f>
    </nc>
  </rcc>
  <rcc rId="159" sId="1">
    <oc r="E99">
      <f>E119*0.1</f>
    </oc>
    <nc r="E99">
      <f>(E119-E101)*0.1</f>
    </nc>
  </rcc>
  <rcc rId="160" sId="1">
    <oc r="F99">
      <f>F119*0.1</f>
    </oc>
    <nc r="F99">
      <f>(F119-F101)*0.1</f>
    </nc>
  </rcc>
  <rcc rId="161" sId="1">
    <oc r="G99">
      <f>G119*0.1</f>
    </oc>
    <nc r="G99">
      <f>(G119-G101)*0.1</f>
    </nc>
  </rcc>
  <rcc rId="162" sId="1">
    <oc r="H99">
      <f>H119*0.1</f>
    </oc>
    <nc r="H99">
      <f>(H119-H101)*0.1</f>
    </nc>
  </rcc>
  <rcc rId="163" sId="1">
    <oc r="I99">
      <f>I119*0.1</f>
    </oc>
    <nc r="I99">
      <f>(I119-I101)*0.1</f>
    </nc>
  </rcc>
  <rcc rId="164" sId="1">
    <oc r="D100">
      <f>D119*0.1</f>
    </oc>
    <nc r="D100">
      <f>(D119-D101)*0.1</f>
    </nc>
  </rcc>
  <rcc rId="165" sId="1">
    <oc r="E100">
      <f>E119*0.125</f>
    </oc>
    <nc r="E100">
      <f>(E119-E101)*0.125</f>
    </nc>
  </rcc>
  <rcc rId="166" sId="1">
    <oc r="F100">
      <f>F119*0.15</f>
    </oc>
    <nc r="F100">
      <f>(F119-F101)*0.15</f>
    </nc>
  </rcc>
  <rcc rId="167" sId="1">
    <oc r="G100">
      <f>G119*0.175</f>
    </oc>
    <nc r="G100">
      <f>(G119-G101)*0.175</f>
    </nc>
  </rcc>
  <rcc rId="168" sId="1">
    <oc r="H100">
      <f>H119*0.2</f>
    </oc>
    <nc r="H100">
      <f>(H119-H101)*0.2</f>
    </nc>
  </rcc>
  <rcc rId="169" sId="1">
    <oc r="I100">
      <f>I119*0.2</f>
    </oc>
    <nc r="I100">
      <f>(I119-I101)*0.2</f>
    </nc>
  </rcc>
  <rcv guid="{E4FCC8BB-C0B4-400B-AC63-5FBAF2D4221B}" action="delete"/>
  <rdn rId="0" localSheetId="1" customView="1" name="Z_E4FCC8BB_C0B4_400B_AC63_5FBAF2D4221B_.wvu.PrintArea" hidden="1" oldHidden="1">
    <formula>'FY19 Project Request '!$A$1:$K$149</formula>
    <oldFormula>'FY19 Project Request '!$A$1:$K$149</oldFormula>
  </rdn>
  <rdn rId="0" localSheetId="1" customView="1" name="Z_E4FCC8BB_C0B4_400B_AC63_5FBAF2D4221B_.wvu.Rows" hidden="1" oldHidden="1">
    <formula>'FY19 Project Request '!$55:$58,'FY19 Project Request '!$77:$79,'FY19 Project Request '!$93:$96,'FY19 Project Request '!$131:$141</formula>
    <oldFormula>'FY19 Project Request '!$55:$58,'FY19 Project Request '!$77:$79,'FY19 Project Request '!$93:$96,'FY19 Project Request '!$131:$141</oldFormula>
  </rdn>
  <rdn rId="0" localSheetId="1" customView="1" name="Z_E4FCC8BB_C0B4_400B_AC63_5FBAF2D4221B_.wvu.FilterData" hidden="1" oldHidden="1">
    <formula>'FY19 Project Request '!$X$3:$X$12</formula>
    <oldFormula>'FY19 Project Request '!$X$3:$X$12</oldFormula>
  </rdn>
  <rdn rId="0" localSheetId="2" customView="1" name="Z_E4FCC8BB_C0B4_400B_AC63_5FBAF2D4221B_.wvu.PrintArea" hidden="1" oldHidden="1">
    <formula>'FY19 Project Reporting'!$A$1:$K$65</formula>
    <oldFormula>'FY19 Project Reporting'!$A$1:$K$65</oldFormula>
  </rdn>
  <rdn rId="0" localSheetId="2" customView="1" name="Z_E4FCC8BB_C0B4_400B_AC63_5FBAF2D4221B_.wvu.Cols" hidden="1" oldHidden="1">
    <formula>'FY19 Project Reporting'!$V:$AD</formula>
    <oldFormula>'FY19 Project Reporting'!$V:$AD</oldFormula>
  </rdn>
  <rdn rId="0" localSheetId="3" customView="1" name="Z_E4FCC8BB_C0B4_400B_AC63_5FBAF2D4221B_.wvu.PrintArea" hidden="1" oldHidden="1">
    <formula>'Exhibit A'!$A$1:$K$44</formula>
    <oldFormula>'Exhibit A'!$A$1:$K$44</oldFormula>
  </rdn>
  <rdn rId="0" localSheetId="3" customView="1" name="Z_E4FCC8BB_C0B4_400B_AC63_5FBAF2D4221B_.wvu.Cols" hidden="1" oldHidden="1">
    <formula>'Exhibit A'!$V:$AC</formula>
    <oldFormula>'Exhibit A'!$V:$AC</oldFormula>
  </rdn>
  <rdn rId="0" localSheetId="4" customView="1" name="Z_E4FCC8BB_C0B4_400B_AC63_5FBAF2D4221B_.wvu.PrintArea" hidden="1" oldHidden="1">
    <formula>'ProjReq Instructions'!$A$1:$C$192</formula>
    <oldFormula>'ProjReq Instructions'!$A$1:$C$192</oldFormula>
  </rdn>
  <rdn rId="0" localSheetId="5" customView="1" name="Z_E4FCC8BB_C0B4_400B_AC63_5FBAF2D4221B_.wvu.PrintArea" hidden="1" oldHidden="1">
    <formula>'ProjReport Instructions'!$A$1:$C$62</formula>
    <oldFormula>'ProjReport Instructions'!$A$1:$C$62</oldFormula>
  </rdn>
  <rdn rId="0" localSheetId="6" customView="1" name="Z_E4FCC8BB_C0B4_400B_AC63_5FBAF2D4221B_.wvu.PrintArea" hidden="1" oldHidden="1">
    <formula>'FY19 Exhibit A - Draft'!$A$1:$K$63</formula>
    <oldFormula>'FY19 Exhibit A - Draft'!$A$1:$K$63</oldFormula>
  </rdn>
  <rdn rId="0" localSheetId="7" customView="1" name="Z_E4FCC8BB_C0B4_400B_AC63_5FBAF2D4221B_.wvu.Rows" hidden="1" oldHidden="1">
    <formula>'End-of-Year Reconciliations'!$22:$27</formula>
    <oldFormula>'End-of-Year Reconciliations'!$22:$27</oldFormula>
  </rdn>
  <rcv guid="{E4FCC8BB-C0B4-400B-AC63-5FBAF2D4221B}"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3">
  <userInfo guid="{AB780FA0-EA4D-4B35-ABED-A32F4823F9BE}" name="Praveen Sridharan" id="-292508688" dateTime="2017-11-16T13:58:40"/>
  <userInfo guid="{44B180CC-005A-418B-86AD-A716AFA80599}" name="Matthew Frazier" id="-936703822" dateTime="2018-03-13T14:23:32"/>
  <userInfo guid="{0B963F77-EC30-47BD-94E7-A1AF24505D9D}" name="Erik Landfried" id="-212034761" dateTime="2018-03-15T22:38:46"/>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1.xml"/><Relationship Id="rId13" Type="http://schemas.openxmlformats.org/officeDocument/2006/relationships/ctrlProp" Target="../ctrlProps/ctrlProp6.xml"/><Relationship Id="rId18" Type="http://schemas.openxmlformats.org/officeDocument/2006/relationships/ctrlProp" Target="../ctrlProps/ctrlProp11.xml"/><Relationship Id="rId26" Type="http://schemas.openxmlformats.org/officeDocument/2006/relationships/ctrlProp" Target="../ctrlProps/ctrlProp19.xml"/><Relationship Id="rId3" Type="http://schemas.openxmlformats.org/officeDocument/2006/relationships/printerSettings" Target="../printerSettings/printerSettings3.bin"/><Relationship Id="rId21" Type="http://schemas.openxmlformats.org/officeDocument/2006/relationships/ctrlProp" Target="../ctrlProps/ctrlProp14.xml"/><Relationship Id="rId7" Type="http://schemas.openxmlformats.org/officeDocument/2006/relationships/vmlDrawing" Target="../drawings/vmlDrawing1.vml"/><Relationship Id="rId12" Type="http://schemas.openxmlformats.org/officeDocument/2006/relationships/ctrlProp" Target="../ctrlProps/ctrlProp5.xml"/><Relationship Id="rId17" Type="http://schemas.openxmlformats.org/officeDocument/2006/relationships/ctrlProp" Target="../ctrlProps/ctrlProp10.xml"/><Relationship Id="rId25" Type="http://schemas.openxmlformats.org/officeDocument/2006/relationships/ctrlProp" Target="../ctrlProps/ctrlProp18.xml"/><Relationship Id="rId2" Type="http://schemas.openxmlformats.org/officeDocument/2006/relationships/printerSettings" Target="../printerSettings/printerSettings2.bin"/><Relationship Id="rId16" Type="http://schemas.openxmlformats.org/officeDocument/2006/relationships/ctrlProp" Target="../ctrlProps/ctrlProp9.xml"/><Relationship Id="rId20"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drawing" Target="../drawings/drawing1.xml"/><Relationship Id="rId11" Type="http://schemas.openxmlformats.org/officeDocument/2006/relationships/ctrlProp" Target="../ctrlProps/ctrlProp4.xml"/><Relationship Id="rId24" Type="http://schemas.openxmlformats.org/officeDocument/2006/relationships/ctrlProp" Target="../ctrlProps/ctrlProp17.xml"/><Relationship Id="rId5" Type="http://schemas.openxmlformats.org/officeDocument/2006/relationships/printerSettings" Target="../printerSettings/printerSettings5.bin"/><Relationship Id="rId15" Type="http://schemas.openxmlformats.org/officeDocument/2006/relationships/ctrlProp" Target="../ctrlProps/ctrlProp8.xml"/><Relationship Id="rId23" Type="http://schemas.openxmlformats.org/officeDocument/2006/relationships/ctrlProp" Target="../ctrlProps/ctrlProp16.xml"/><Relationship Id="rId28" Type="http://schemas.openxmlformats.org/officeDocument/2006/relationships/comments" Target="../comments1.xml"/><Relationship Id="rId10" Type="http://schemas.openxmlformats.org/officeDocument/2006/relationships/ctrlProp" Target="../ctrlProps/ctrlProp3.xml"/><Relationship Id="rId19" Type="http://schemas.openxmlformats.org/officeDocument/2006/relationships/ctrlProp" Target="../ctrlProps/ctrlProp12.xml"/><Relationship Id="rId4" Type="http://schemas.openxmlformats.org/officeDocument/2006/relationships/printerSettings" Target="../printerSettings/printerSettings4.bin"/><Relationship Id="rId9" Type="http://schemas.openxmlformats.org/officeDocument/2006/relationships/ctrlProp" Target="../ctrlProps/ctrlProp2.xml"/><Relationship Id="rId14" Type="http://schemas.openxmlformats.org/officeDocument/2006/relationships/ctrlProp" Target="../ctrlProps/ctrlProp7.xml"/><Relationship Id="rId22" Type="http://schemas.openxmlformats.org/officeDocument/2006/relationships/ctrlProp" Target="../ctrlProps/ctrlProp15.xml"/><Relationship Id="rId27" Type="http://schemas.openxmlformats.org/officeDocument/2006/relationships/ctrlProp" Target="../ctrlProps/ctrlProp20.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8.bin"/><Relationship Id="rId7" Type="http://schemas.openxmlformats.org/officeDocument/2006/relationships/comments" Target="../comments6.xml"/><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vmlDrawing" Target="../drawings/vmlDrawing6.v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11.xml.rels><?xml version="1.0" encoding="UTF-8" standalone="yes"?>
<Relationships xmlns="http://schemas.openxmlformats.org/package/2006/relationships"><Relationship Id="rId8" Type="http://schemas.openxmlformats.org/officeDocument/2006/relationships/comments" Target="../comments7.xml"/><Relationship Id="rId3" Type="http://schemas.openxmlformats.org/officeDocument/2006/relationships/printerSettings" Target="../printerSettings/printerSettings43.bin"/><Relationship Id="rId7" Type="http://schemas.openxmlformats.org/officeDocument/2006/relationships/vmlDrawing" Target="../drawings/vmlDrawing7.vml"/><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printerSettings" Target="../printerSettings/printerSettings45.bin"/><Relationship Id="rId5" Type="http://schemas.openxmlformats.org/officeDocument/2006/relationships/hyperlink" Target="mailto:elandfried@gotriangle.org" TargetMode="External"/><Relationship Id="rId4" Type="http://schemas.openxmlformats.org/officeDocument/2006/relationships/printerSettings" Target="../printerSettings/printerSettings44.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13" Type="http://schemas.openxmlformats.org/officeDocument/2006/relationships/comments" Target="../comments2.xml"/><Relationship Id="rId3" Type="http://schemas.openxmlformats.org/officeDocument/2006/relationships/printerSettings" Target="../printerSettings/printerSettings8.bin"/><Relationship Id="rId7" Type="http://schemas.openxmlformats.org/officeDocument/2006/relationships/printerSettings" Target="../printerSettings/printerSettings10.bin"/><Relationship Id="rId12" Type="http://schemas.openxmlformats.org/officeDocument/2006/relationships/ctrlProp" Target="../ctrlProps/ctrlProp23.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hyperlink" Target="mailto:elandfried@gotriangle.org" TargetMode="External"/><Relationship Id="rId11" Type="http://schemas.openxmlformats.org/officeDocument/2006/relationships/ctrlProp" Target="../ctrlProps/ctrlProp22.xml"/><Relationship Id="rId5" Type="http://schemas.openxmlformats.org/officeDocument/2006/relationships/hyperlink" Target="mailto:elandfried@gotriangle.org" TargetMode="External"/><Relationship Id="rId10" Type="http://schemas.openxmlformats.org/officeDocument/2006/relationships/ctrlProp" Target="../ctrlProps/ctrlProp21.xml"/><Relationship Id="rId4" Type="http://schemas.openxmlformats.org/officeDocument/2006/relationships/printerSettings" Target="../printerSettings/printerSettings9.bin"/><Relationship Id="rId9"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8" Type="http://schemas.openxmlformats.org/officeDocument/2006/relationships/drawing" Target="../drawings/drawing3.xml"/><Relationship Id="rId13" Type="http://schemas.openxmlformats.org/officeDocument/2006/relationships/comments" Target="../comments3.xml"/><Relationship Id="rId3" Type="http://schemas.openxmlformats.org/officeDocument/2006/relationships/printerSettings" Target="../printerSettings/printerSettings13.bin"/><Relationship Id="rId7" Type="http://schemas.openxmlformats.org/officeDocument/2006/relationships/printerSettings" Target="../printerSettings/printerSettings15.bin"/><Relationship Id="rId12" Type="http://schemas.openxmlformats.org/officeDocument/2006/relationships/ctrlProp" Target="../ctrlProps/ctrlProp26.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hyperlink" Target="mailto:elandfried@gotriangle.org" TargetMode="External"/><Relationship Id="rId11" Type="http://schemas.openxmlformats.org/officeDocument/2006/relationships/ctrlProp" Target="../ctrlProps/ctrlProp25.xml"/><Relationship Id="rId5" Type="http://schemas.openxmlformats.org/officeDocument/2006/relationships/hyperlink" Target="mailto:elandfried@gotriangle.org" TargetMode="External"/><Relationship Id="rId10" Type="http://schemas.openxmlformats.org/officeDocument/2006/relationships/ctrlProp" Target="../ctrlProps/ctrlProp24.xml"/><Relationship Id="rId4" Type="http://schemas.openxmlformats.org/officeDocument/2006/relationships/printerSettings" Target="../printerSettings/printerSettings14.bin"/><Relationship Id="rId9"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7" Type="http://schemas.openxmlformats.org/officeDocument/2006/relationships/drawing" Target="../drawings/drawing4.x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printerSettings" Target="../printerSettings/printerSettings20.bin"/><Relationship Id="rId5" Type="http://schemas.openxmlformats.org/officeDocument/2006/relationships/hyperlink" Target="mailto:DOTransitProjects@gotriangle.org" TargetMode="External"/><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7" Type="http://schemas.openxmlformats.org/officeDocument/2006/relationships/drawing" Target="../drawings/drawing5.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5.bin"/><Relationship Id="rId5" Type="http://schemas.openxmlformats.org/officeDocument/2006/relationships/hyperlink" Target="mailto:DOTransitProjects@gotriangle.org" TargetMode="External"/><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8" Type="http://schemas.openxmlformats.org/officeDocument/2006/relationships/drawing" Target="../drawings/drawing6.xml"/><Relationship Id="rId13" Type="http://schemas.openxmlformats.org/officeDocument/2006/relationships/comments" Target="../comments4.xml"/><Relationship Id="rId3" Type="http://schemas.openxmlformats.org/officeDocument/2006/relationships/printerSettings" Target="../printerSettings/printerSettings28.bin"/><Relationship Id="rId7" Type="http://schemas.openxmlformats.org/officeDocument/2006/relationships/printerSettings" Target="../printerSettings/printerSettings30.bin"/><Relationship Id="rId12" Type="http://schemas.openxmlformats.org/officeDocument/2006/relationships/ctrlProp" Target="../ctrlProps/ctrlProp29.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hyperlink" Target="mailto:elandfried@gotriangle.org" TargetMode="External"/><Relationship Id="rId11" Type="http://schemas.openxmlformats.org/officeDocument/2006/relationships/ctrlProp" Target="../ctrlProps/ctrlProp28.xml"/><Relationship Id="rId5" Type="http://schemas.openxmlformats.org/officeDocument/2006/relationships/hyperlink" Target="mailto:elandfried@gotriangle.org" TargetMode="External"/><Relationship Id="rId10" Type="http://schemas.openxmlformats.org/officeDocument/2006/relationships/ctrlProp" Target="../ctrlProps/ctrlProp27.xml"/><Relationship Id="rId4" Type="http://schemas.openxmlformats.org/officeDocument/2006/relationships/printerSettings" Target="../printerSettings/printerSettings29.bin"/><Relationship Id="rId9"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3.bin"/><Relationship Id="rId7" Type="http://schemas.openxmlformats.org/officeDocument/2006/relationships/comments" Target="../comments5.xml"/><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vmlDrawing" Target="../drawings/vmlDrawing5.vml"/><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7"/>
  <sheetViews>
    <sheetView tabSelected="1" topLeftCell="A70" zoomScale="85" zoomScaleNormal="85" zoomScaleSheetLayoutView="90" workbookViewId="0">
      <selection activeCell="L106" sqref="L106"/>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2.625" style="37"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74" t="s">
        <v>194</v>
      </c>
      <c r="C1" s="275"/>
      <c r="D1" s="265" t="s">
        <v>165</v>
      </c>
      <c r="E1" s="266"/>
      <c r="F1" s="266"/>
      <c r="G1" s="266"/>
      <c r="H1" s="267"/>
      <c r="I1" s="97" t="s">
        <v>115</v>
      </c>
      <c r="J1" s="98">
        <v>43282</v>
      </c>
      <c r="K1" s="42"/>
      <c r="L1" s="42"/>
      <c r="M1" s="42"/>
      <c r="N1" s="42"/>
      <c r="O1" s="42"/>
      <c r="P1" s="42"/>
      <c r="Q1" s="42"/>
      <c r="R1" s="42"/>
      <c r="S1" s="42"/>
      <c r="T1" s="42"/>
      <c r="U1" s="42"/>
      <c r="V1" s="42"/>
      <c r="W1" s="165" t="s">
        <v>221</v>
      </c>
      <c r="X1" s="161"/>
    </row>
    <row r="2" spans="1:29" ht="18.75" customHeight="1" thickTop="1" thickBot="1" x14ac:dyDescent="0.35">
      <c r="A2" s="45"/>
      <c r="B2" s="272" t="str">
        <f>CONCATENATE(C3,C4,"_",C5,C6)</f>
        <v>19GOT_TS2</v>
      </c>
      <c r="C2" s="273"/>
      <c r="D2" s="263" t="s">
        <v>118</v>
      </c>
      <c r="E2" s="264"/>
      <c r="F2" s="264"/>
      <c r="G2" s="264"/>
      <c r="H2" s="264"/>
      <c r="I2" s="276" t="s">
        <v>103</v>
      </c>
      <c r="J2" s="277"/>
      <c r="K2" s="42"/>
      <c r="L2" s="42"/>
      <c r="M2" s="42"/>
      <c r="N2" s="42"/>
      <c r="O2" s="42"/>
      <c r="P2" s="42"/>
      <c r="Q2" s="42"/>
      <c r="R2" s="42"/>
      <c r="S2" s="42"/>
      <c r="T2" s="42"/>
      <c r="U2" s="42"/>
      <c r="V2" s="42"/>
      <c r="W2" s="165" t="s">
        <v>222</v>
      </c>
      <c r="X2" s="175" t="s">
        <v>256</v>
      </c>
      <c r="Y2" s="171" t="s">
        <v>257</v>
      </c>
      <c r="Z2" s="171" t="s">
        <v>244</v>
      </c>
      <c r="AA2" s="171" t="s">
        <v>258</v>
      </c>
      <c r="AC2" s="191" t="s">
        <v>103</v>
      </c>
    </row>
    <row r="3" spans="1:29" ht="17.25" customHeight="1" x14ac:dyDescent="0.3">
      <c r="A3" s="45"/>
      <c r="B3" s="174" t="s">
        <v>242</v>
      </c>
      <c r="C3" s="218">
        <v>19</v>
      </c>
      <c r="D3" s="263" t="s">
        <v>116</v>
      </c>
      <c r="E3" s="263"/>
      <c r="F3" s="263"/>
      <c r="G3" s="263"/>
      <c r="H3" s="263"/>
      <c r="I3" s="43">
        <v>43281</v>
      </c>
      <c r="J3" s="96"/>
      <c r="K3" s="42"/>
      <c r="L3" s="42"/>
      <c r="M3" s="42"/>
      <c r="N3" s="42"/>
      <c r="O3" s="42"/>
      <c r="P3" s="42"/>
      <c r="Q3" s="42"/>
      <c r="R3" s="42"/>
      <c r="S3" s="42"/>
      <c r="T3" s="42"/>
      <c r="U3" s="42"/>
      <c r="V3" s="42"/>
      <c r="W3" s="161"/>
      <c r="X3" s="180">
        <v>16</v>
      </c>
      <c r="Y3" s="181" t="s">
        <v>248</v>
      </c>
      <c r="Z3" s="181" t="s">
        <v>233</v>
      </c>
      <c r="AA3" s="182">
        <v>1</v>
      </c>
      <c r="AC3" s="191" t="s">
        <v>277</v>
      </c>
    </row>
    <row r="4" spans="1:29" ht="17.25" x14ac:dyDescent="0.3">
      <c r="A4" s="45"/>
      <c r="B4" s="174" t="s">
        <v>243</v>
      </c>
      <c r="C4" s="219" t="s">
        <v>245</v>
      </c>
      <c r="D4" s="268" t="s">
        <v>144</v>
      </c>
      <c r="E4" s="263"/>
      <c r="F4" s="263"/>
      <c r="G4" s="263"/>
      <c r="H4" s="263"/>
      <c r="I4" s="52"/>
      <c r="J4" s="52"/>
      <c r="K4" s="42"/>
      <c r="L4" s="42"/>
      <c r="M4" s="42"/>
      <c r="N4" s="42"/>
      <c r="O4" s="42"/>
      <c r="P4" s="42"/>
      <c r="Q4" s="42"/>
      <c r="R4" s="42"/>
      <c r="S4" s="42"/>
      <c r="T4" s="42"/>
      <c r="U4" s="42"/>
      <c r="V4" s="42"/>
      <c r="W4" s="161"/>
      <c r="X4" s="180">
        <v>17</v>
      </c>
      <c r="Y4" s="181" t="s">
        <v>246</v>
      </c>
      <c r="Z4" s="181" t="s">
        <v>232</v>
      </c>
      <c r="AA4" s="182">
        <v>2</v>
      </c>
      <c r="AC4" s="191" t="s">
        <v>278</v>
      </c>
    </row>
    <row r="5" spans="1:29" ht="12.75" customHeight="1" x14ac:dyDescent="0.25">
      <c r="A5" s="45"/>
      <c r="B5" s="174" t="s">
        <v>254</v>
      </c>
      <c r="C5" s="219" t="s">
        <v>234</v>
      </c>
      <c r="D5" s="53"/>
      <c r="E5" s="53"/>
      <c r="F5" s="53"/>
      <c r="G5" s="53"/>
      <c r="H5" s="53"/>
      <c r="I5" s="53"/>
      <c r="J5" s="53"/>
      <c r="K5" s="42"/>
      <c r="L5" s="42"/>
      <c r="M5" s="42"/>
      <c r="N5" s="42"/>
      <c r="O5" s="42"/>
      <c r="P5" s="42"/>
      <c r="Q5" s="42"/>
      <c r="R5" s="42"/>
      <c r="S5" s="42"/>
      <c r="T5" s="42"/>
      <c r="U5" s="42"/>
      <c r="V5" s="42"/>
      <c r="W5" s="161"/>
      <c r="X5" s="180">
        <v>18</v>
      </c>
      <c r="Y5" s="181" t="s">
        <v>247</v>
      </c>
      <c r="Z5" s="181" t="s">
        <v>234</v>
      </c>
      <c r="AA5" s="182">
        <v>3</v>
      </c>
      <c r="AC5" s="191" t="s">
        <v>279</v>
      </c>
    </row>
    <row r="6" spans="1:29" x14ac:dyDescent="0.25">
      <c r="A6" s="84"/>
      <c r="B6" s="174" t="s">
        <v>255</v>
      </c>
      <c r="C6" s="220">
        <v>2</v>
      </c>
      <c r="D6" s="83"/>
      <c r="E6" s="83"/>
      <c r="F6" s="83"/>
      <c r="G6" s="83"/>
      <c r="H6" s="83"/>
      <c r="I6" s="83"/>
      <c r="J6" s="83"/>
      <c r="K6" s="49"/>
      <c r="L6" s="49"/>
      <c r="M6" s="49"/>
      <c r="N6" s="49"/>
      <c r="O6" s="49"/>
      <c r="P6" s="49"/>
      <c r="Q6" s="49"/>
      <c r="R6" s="49"/>
      <c r="S6" s="49"/>
      <c r="T6" s="49"/>
      <c r="U6" s="49"/>
      <c r="V6" s="49"/>
      <c r="W6" s="161"/>
      <c r="X6" s="180">
        <v>19</v>
      </c>
      <c r="Y6" s="181" t="s">
        <v>245</v>
      </c>
      <c r="Z6" s="181" t="s">
        <v>235</v>
      </c>
      <c r="AA6" s="182">
        <v>4</v>
      </c>
      <c r="AC6" s="191" t="s">
        <v>280</v>
      </c>
    </row>
    <row r="7" spans="1:29" ht="30.6" customHeight="1" x14ac:dyDescent="0.4">
      <c r="A7" s="80"/>
      <c r="B7" s="82" t="s">
        <v>163</v>
      </c>
      <c r="C7" s="81"/>
      <c r="D7" s="81"/>
      <c r="E7" s="81"/>
      <c r="F7" s="81"/>
      <c r="G7" s="81"/>
      <c r="H7" s="81"/>
      <c r="I7" s="81"/>
      <c r="J7" s="81"/>
      <c r="K7" s="80"/>
      <c r="L7" s="80"/>
      <c r="M7" s="80"/>
      <c r="N7" s="80"/>
      <c r="O7" s="80"/>
      <c r="P7" s="80"/>
      <c r="Q7" s="80"/>
      <c r="R7" s="80"/>
      <c r="S7" s="80"/>
      <c r="T7" s="80"/>
      <c r="U7" s="80"/>
      <c r="V7" s="80"/>
      <c r="W7" s="161"/>
      <c r="X7" s="180">
        <v>20</v>
      </c>
      <c r="Y7" s="181" t="s">
        <v>251</v>
      </c>
      <c r="Z7" s="181" t="s">
        <v>252</v>
      </c>
      <c r="AA7" s="182">
        <v>5</v>
      </c>
    </row>
    <row r="8" spans="1:29" ht="15" customHeight="1" x14ac:dyDescent="0.25">
      <c r="A8" s="88"/>
      <c r="B8" s="296" t="s">
        <v>134</v>
      </c>
      <c r="C8" s="296"/>
      <c r="D8" s="296"/>
      <c r="E8" s="296"/>
      <c r="F8" s="296"/>
      <c r="G8" s="296"/>
      <c r="H8" s="296"/>
      <c r="I8" s="296"/>
      <c r="J8" s="296"/>
      <c r="K8" s="88"/>
      <c r="L8" s="160"/>
      <c r="M8" s="160"/>
      <c r="N8" s="160"/>
      <c r="O8" s="160"/>
      <c r="P8" s="160"/>
      <c r="Q8" s="160"/>
      <c r="R8" s="160"/>
      <c r="S8" s="160"/>
      <c r="T8" s="160"/>
      <c r="U8" s="160"/>
      <c r="V8" s="160"/>
      <c r="W8" s="161"/>
      <c r="X8" s="180">
        <v>21</v>
      </c>
      <c r="Y8" s="181" t="s">
        <v>249</v>
      </c>
      <c r="Z8" s="181" t="s">
        <v>253</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362</v>
      </c>
      <c r="Z9" s="176"/>
      <c r="AA9" s="182">
        <v>7</v>
      </c>
    </row>
    <row r="10" spans="1:29" x14ac:dyDescent="0.25">
      <c r="A10" s="45"/>
      <c r="B10" s="269" t="s">
        <v>34</v>
      </c>
      <c r="C10" s="269"/>
      <c r="D10" s="269" t="s">
        <v>35</v>
      </c>
      <c r="E10" s="269"/>
      <c r="F10" s="269" t="s">
        <v>36</v>
      </c>
      <c r="G10" s="269"/>
      <c r="H10" s="269"/>
      <c r="I10" s="269" t="s">
        <v>273</v>
      </c>
      <c r="J10" s="269"/>
      <c r="K10" s="42"/>
      <c r="L10" s="42"/>
      <c r="M10" s="42"/>
      <c r="N10" s="42"/>
      <c r="O10" s="42"/>
      <c r="P10" s="42"/>
      <c r="Q10" s="42"/>
      <c r="R10" s="42"/>
      <c r="S10" s="42"/>
      <c r="T10" s="42"/>
      <c r="U10" s="42"/>
      <c r="V10" s="42"/>
      <c r="W10" s="161"/>
      <c r="X10" s="180">
        <v>23</v>
      </c>
      <c r="Y10" s="181" t="s">
        <v>250</v>
      </c>
      <c r="Z10" s="177"/>
      <c r="AA10" s="182">
        <v>8</v>
      </c>
    </row>
    <row r="11" spans="1:29" ht="18" customHeight="1" x14ac:dyDescent="0.25">
      <c r="A11" s="45"/>
      <c r="B11" s="271" t="s">
        <v>384</v>
      </c>
      <c r="C11" s="271"/>
      <c r="D11" s="271" t="s">
        <v>193</v>
      </c>
      <c r="E11" s="271"/>
      <c r="F11" s="270" t="s">
        <v>38</v>
      </c>
      <c r="G11" s="270"/>
      <c r="H11" s="270"/>
      <c r="I11" s="69" t="s">
        <v>282</v>
      </c>
      <c r="J11" s="224">
        <f>IF($I$2=$AC$2,IF($J$128&gt;0,$D$92*($D$128/($D$128+$D$140)),),)+IF($I$2=$AC$3,IF($J$128&gt;0,$E$92*($E$128/($E$128+$E$140)),),)</f>
        <v>121853.6</v>
      </c>
      <c r="K11" s="42"/>
      <c r="L11" s="42"/>
      <c r="M11" s="42"/>
      <c r="N11" s="42"/>
      <c r="O11" s="42"/>
      <c r="P11" s="42"/>
      <c r="Q11" s="42"/>
      <c r="R11" s="42"/>
      <c r="S11" s="42"/>
      <c r="T11" s="42"/>
      <c r="U11" s="42"/>
      <c r="V11" s="42"/>
      <c r="W11" s="161"/>
      <c r="X11" s="180">
        <v>24</v>
      </c>
      <c r="Y11" s="177"/>
      <c r="AA11" s="182">
        <v>9</v>
      </c>
    </row>
    <row r="12" spans="1:29" ht="18" customHeight="1" x14ac:dyDescent="0.25">
      <c r="A12" s="45"/>
      <c r="B12" s="271"/>
      <c r="C12" s="271"/>
      <c r="D12" s="271"/>
      <c r="E12" s="271"/>
      <c r="F12" s="270" t="s">
        <v>56</v>
      </c>
      <c r="G12" s="270"/>
      <c r="H12" s="270"/>
      <c r="I12" s="139" t="s">
        <v>321</v>
      </c>
      <c r="J12" s="224">
        <f>IF($J$128&gt;0,SUM($D$92:$I$92)*(SUM($D$128:$I$128)/(SUM($D$128:$I$128,$D$140:$I$140))),)</f>
        <v>781111.375</v>
      </c>
      <c r="K12" s="42"/>
      <c r="L12" s="42"/>
      <c r="M12" s="42"/>
      <c r="N12" s="42"/>
      <c r="O12" s="42"/>
      <c r="P12" s="42"/>
      <c r="Q12" s="42"/>
      <c r="R12" s="42"/>
      <c r="S12" s="42"/>
      <c r="T12" s="42"/>
      <c r="U12" s="42"/>
      <c r="V12" s="42"/>
      <c r="W12" s="161"/>
      <c r="X12" s="180">
        <v>25</v>
      </c>
      <c r="Y12" s="177"/>
      <c r="AA12" s="182">
        <v>10</v>
      </c>
    </row>
    <row r="13" spans="1:29" x14ac:dyDescent="0.25">
      <c r="A13" s="45"/>
      <c r="B13" s="269" t="s">
        <v>39</v>
      </c>
      <c r="C13" s="269"/>
      <c r="D13" s="269" t="s">
        <v>40</v>
      </c>
      <c r="E13" s="269"/>
      <c r="F13" s="269" t="s">
        <v>97</v>
      </c>
      <c r="G13" s="269"/>
      <c r="H13" s="269"/>
      <c r="I13" s="269" t="s">
        <v>274</v>
      </c>
      <c r="J13" s="269"/>
      <c r="K13" s="42"/>
      <c r="L13" s="42"/>
      <c r="M13" s="42"/>
      <c r="N13" s="42"/>
      <c r="O13" s="42"/>
      <c r="P13" s="42"/>
      <c r="Q13" s="42"/>
      <c r="R13" s="42"/>
      <c r="S13" s="42"/>
      <c r="T13" s="42"/>
      <c r="U13" s="42"/>
      <c r="V13" s="42"/>
      <c r="W13" s="161"/>
      <c r="X13" s="161"/>
      <c r="AA13" s="182">
        <v>11</v>
      </c>
    </row>
    <row r="14" spans="1:29" ht="15.75" customHeight="1" x14ac:dyDescent="0.25">
      <c r="A14" s="45"/>
      <c r="B14" s="293">
        <v>43318</v>
      </c>
      <c r="C14" s="293"/>
      <c r="D14" s="293" t="s">
        <v>363</v>
      </c>
      <c r="E14" s="293"/>
      <c r="F14" s="271" t="s">
        <v>95</v>
      </c>
      <c r="G14" s="271"/>
      <c r="H14" s="271"/>
      <c r="I14" s="189" t="s">
        <v>282</v>
      </c>
      <c r="J14" s="224">
        <f>IF($I$2=$AC$2,IF($J$140&gt;0,$D$92*($D$140/($D$128+$D$140)),),)+IF($I$2=$AC$3,IF($J$140&gt;0,$E$92*($E$140/($E$128+$E$140)),),)</f>
        <v>0</v>
      </c>
      <c r="K14" s="42"/>
      <c r="L14" s="42"/>
      <c r="M14" s="42"/>
      <c r="N14" s="42"/>
      <c r="O14" s="42"/>
      <c r="P14" s="42"/>
      <c r="Q14" s="42"/>
      <c r="R14" s="42"/>
      <c r="S14" s="42"/>
      <c r="T14" s="42"/>
      <c r="U14" s="42"/>
      <c r="V14" s="42"/>
      <c r="W14" s="161"/>
      <c r="X14" s="161"/>
      <c r="AA14" s="182">
        <v>12</v>
      </c>
    </row>
    <row r="15" spans="1:29" ht="15.75" customHeight="1" x14ac:dyDescent="0.25">
      <c r="A15" s="45"/>
      <c r="B15" s="293"/>
      <c r="C15" s="293"/>
      <c r="D15" s="293"/>
      <c r="E15" s="293"/>
      <c r="F15" s="271"/>
      <c r="G15" s="271"/>
      <c r="H15" s="271"/>
      <c r="I15" s="139" t="s">
        <v>321</v>
      </c>
      <c r="J15" s="224">
        <f>IF($J$140&gt;0,SUM($D$92:$I$92)*(SUM($D$140:$I$140)/(SUM($D$128:$I$128,$D$140:$I$140))),)</f>
        <v>0</v>
      </c>
      <c r="K15" s="42"/>
      <c r="L15" s="42"/>
      <c r="M15" s="42"/>
      <c r="N15" s="42"/>
      <c r="O15" s="42"/>
      <c r="P15" s="42"/>
      <c r="Q15" s="42"/>
      <c r="R15" s="42"/>
      <c r="S15" s="42"/>
      <c r="T15" s="42"/>
      <c r="U15" s="42"/>
      <c r="V15" s="42"/>
      <c r="W15" s="161"/>
      <c r="X15" s="161"/>
      <c r="AA15" s="182">
        <v>13</v>
      </c>
    </row>
    <row r="16" spans="1:29" ht="28.7" customHeight="1" x14ac:dyDescent="0.25">
      <c r="A16" s="45"/>
      <c r="B16" s="287" t="s">
        <v>90</v>
      </c>
      <c r="C16" s="287"/>
      <c r="D16" s="294" t="s">
        <v>119</v>
      </c>
      <c r="E16" s="294"/>
      <c r="F16" s="294"/>
      <c r="G16" s="294"/>
      <c r="H16" s="294"/>
      <c r="I16" s="294"/>
      <c r="J16" s="294"/>
      <c r="K16" s="42"/>
      <c r="L16" s="42"/>
      <c r="M16" s="42"/>
      <c r="N16" s="42"/>
      <c r="O16" s="42"/>
      <c r="P16" s="42"/>
      <c r="Q16" s="42"/>
      <c r="R16" s="42"/>
      <c r="S16" s="42"/>
      <c r="T16" s="42"/>
      <c r="U16" s="42"/>
      <c r="V16" s="42"/>
      <c r="W16" s="161"/>
      <c r="X16" s="161"/>
      <c r="AA16" s="182">
        <v>14</v>
      </c>
    </row>
    <row r="17" spans="1:27" ht="110.25" customHeight="1" x14ac:dyDescent="0.25">
      <c r="A17" s="45"/>
      <c r="B17" s="288" t="s">
        <v>380</v>
      </c>
      <c r="C17" s="288"/>
      <c r="D17" s="288"/>
      <c r="E17" s="288"/>
      <c r="F17" s="288"/>
      <c r="G17" s="288"/>
      <c r="H17" s="288"/>
      <c r="I17" s="288"/>
      <c r="J17" s="288"/>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W19" s="163" t="s">
        <v>218</v>
      </c>
      <c r="X19" s="163" t="b">
        <v>1</v>
      </c>
    </row>
    <row r="20" spans="1:27" ht="15" customHeight="1" x14ac:dyDescent="0.25">
      <c r="A20" s="72" t="s">
        <v>138</v>
      </c>
      <c r="B20" s="54" t="s">
        <v>164</v>
      </c>
      <c r="C20" s="54"/>
      <c r="D20" s="54"/>
      <c r="E20" s="54"/>
      <c r="F20" s="54"/>
      <c r="G20" s="54"/>
      <c r="H20" s="54"/>
      <c r="I20" s="54"/>
      <c r="J20" s="54"/>
      <c r="K20" s="42"/>
      <c r="L20" s="42"/>
      <c r="M20" s="42"/>
      <c r="N20" s="42"/>
      <c r="O20" s="42"/>
      <c r="P20" s="42"/>
      <c r="Q20" s="42"/>
      <c r="R20" s="42"/>
      <c r="S20" s="42"/>
      <c r="T20" s="42"/>
      <c r="U20" s="42"/>
      <c r="V20" s="42"/>
      <c r="W20" s="163" t="s">
        <v>265</v>
      </c>
      <c r="X20" s="163" t="b">
        <v>0</v>
      </c>
    </row>
    <row r="21" spans="1:27" ht="16.7" customHeight="1" x14ac:dyDescent="0.25">
      <c r="A21" s="72"/>
      <c r="B21" s="53" t="s">
        <v>141</v>
      </c>
      <c r="C21" s="53"/>
      <c r="D21" s="53" t="s">
        <v>142</v>
      </c>
      <c r="E21" s="53"/>
      <c r="F21" s="53"/>
      <c r="G21" s="53" t="s">
        <v>143</v>
      </c>
      <c r="I21" s="53"/>
      <c r="J21" s="53"/>
      <c r="K21" s="42"/>
      <c r="L21" s="42"/>
      <c r="M21" s="42"/>
      <c r="N21" s="42"/>
      <c r="O21" s="42"/>
      <c r="P21" s="42"/>
      <c r="Q21" s="42"/>
      <c r="R21" s="42"/>
      <c r="S21" s="42"/>
      <c r="T21" s="42"/>
      <c r="U21" s="42"/>
      <c r="V21" s="42"/>
      <c r="W21" s="163" t="s">
        <v>266</v>
      </c>
      <c r="X21" s="164" t="b">
        <v>0</v>
      </c>
    </row>
    <row r="22" spans="1:27" ht="47.25" customHeight="1" x14ac:dyDescent="0.25">
      <c r="A22" s="72"/>
      <c r="B22" s="248" t="s">
        <v>365</v>
      </c>
      <c r="C22" s="250"/>
      <c r="D22" s="248" t="s">
        <v>366</v>
      </c>
      <c r="E22" s="249"/>
      <c r="F22" s="250"/>
      <c r="G22" s="248" t="s">
        <v>367</v>
      </c>
      <c r="H22" s="249"/>
      <c r="I22" s="249"/>
      <c r="J22" s="250"/>
      <c r="K22" s="42"/>
      <c r="L22" s="42"/>
      <c r="M22" s="42"/>
      <c r="N22" s="42"/>
      <c r="O22" s="42"/>
      <c r="P22" s="42"/>
      <c r="Q22" s="42"/>
      <c r="R22" s="42"/>
      <c r="S22" s="42"/>
      <c r="T22" s="42"/>
      <c r="U22" s="42"/>
      <c r="V22" s="42"/>
      <c r="W22" s="163" t="s">
        <v>267</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268</v>
      </c>
      <c r="X23" s="178" t="b">
        <v>1</v>
      </c>
    </row>
    <row r="24" spans="1:27" x14ac:dyDescent="0.25">
      <c r="A24" s="72" t="s">
        <v>139</v>
      </c>
      <c r="B24" s="54" t="s">
        <v>264</v>
      </c>
      <c r="C24" s="54"/>
      <c r="D24" s="53"/>
      <c r="E24" s="53"/>
      <c r="F24" s="53"/>
      <c r="G24" s="53"/>
      <c r="H24" s="53"/>
      <c r="I24" s="53"/>
      <c r="J24" s="53"/>
      <c r="K24" s="42"/>
      <c r="L24" s="42"/>
      <c r="M24" s="42"/>
      <c r="N24" s="42"/>
      <c r="O24" s="42"/>
      <c r="P24" s="42"/>
      <c r="Q24" s="42"/>
      <c r="R24" s="42"/>
      <c r="S24" s="42"/>
      <c r="T24" s="42"/>
      <c r="U24" s="42"/>
      <c r="V24" s="42"/>
      <c r="W24" s="163" t="s">
        <v>261</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219</v>
      </c>
      <c r="X25" s="164" t="b">
        <v>0</v>
      </c>
    </row>
    <row r="26" spans="1:27" ht="15" customHeight="1" x14ac:dyDescent="0.25">
      <c r="A26" s="72" t="s">
        <v>140</v>
      </c>
      <c r="B26" s="54" t="s">
        <v>271</v>
      </c>
      <c r="C26" s="54"/>
      <c r="D26" s="54"/>
      <c r="E26" s="54"/>
      <c r="F26" s="54"/>
      <c r="G26" s="54"/>
      <c r="H26" s="54"/>
      <c r="I26" s="54"/>
      <c r="J26" s="54"/>
      <c r="K26" s="42"/>
      <c r="L26" s="42"/>
      <c r="M26" s="42"/>
      <c r="N26" s="42"/>
      <c r="O26" s="42"/>
      <c r="P26" s="42"/>
      <c r="Q26" s="42"/>
      <c r="R26" s="42"/>
      <c r="S26" s="42"/>
      <c r="T26" s="42"/>
      <c r="U26" s="42"/>
      <c r="V26" s="42"/>
      <c r="W26" s="163" t="s">
        <v>220</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262</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162</v>
      </c>
      <c r="B29" s="281" t="s">
        <v>236</v>
      </c>
      <c r="C29" s="281"/>
      <c r="D29" s="281"/>
      <c r="E29" s="53"/>
      <c r="F29" s="53"/>
      <c r="G29" s="53"/>
      <c r="H29" s="53"/>
      <c r="I29" s="53"/>
      <c r="J29" s="55"/>
      <c r="K29" s="42"/>
      <c r="L29" s="42"/>
      <c r="M29" s="42"/>
      <c r="N29" s="42"/>
      <c r="O29" s="42"/>
      <c r="P29" s="42"/>
      <c r="Q29" s="42"/>
      <c r="R29" s="42"/>
      <c r="S29" s="42"/>
      <c r="T29" s="42"/>
      <c r="U29" s="42"/>
      <c r="V29" s="42"/>
      <c r="W29" s="163" t="s">
        <v>269</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270</v>
      </c>
      <c r="X30" s="178" t="b">
        <v>0</v>
      </c>
    </row>
    <row r="31" spans="1:27" ht="26.25" x14ac:dyDescent="0.4">
      <c r="A31" s="80"/>
      <c r="B31" s="82" t="s">
        <v>223</v>
      </c>
      <c r="C31" s="81"/>
      <c r="D31" s="81"/>
      <c r="E31" s="81"/>
      <c r="F31" s="81"/>
      <c r="G31" s="81"/>
      <c r="H31" s="81"/>
      <c r="I31" s="81"/>
      <c r="J31" s="81"/>
      <c r="K31" s="80"/>
      <c r="L31" s="80"/>
      <c r="M31" s="80"/>
      <c r="N31" s="80"/>
      <c r="O31" s="80"/>
      <c r="P31" s="80"/>
      <c r="Q31" s="80"/>
      <c r="R31" s="80"/>
      <c r="S31" s="80"/>
      <c r="T31" s="80"/>
      <c r="U31" s="80"/>
      <c r="V31" s="80"/>
      <c r="W31" s="163" t="s">
        <v>226</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227</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228</v>
      </c>
      <c r="X33" s="164" t="b">
        <v>1</v>
      </c>
    </row>
    <row r="34" spans="1:34" ht="15.75" customHeight="1" x14ac:dyDescent="0.4">
      <c r="A34" s="76" t="s">
        <v>135</v>
      </c>
      <c r="B34" s="71" t="s">
        <v>225</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216</v>
      </c>
      <c r="X35" s="163" t="b">
        <v>1</v>
      </c>
    </row>
    <row r="36" spans="1:34" ht="16.7" customHeight="1" x14ac:dyDescent="0.25">
      <c r="A36" s="76" t="s">
        <v>136</v>
      </c>
      <c r="B36" s="254" t="s">
        <v>224</v>
      </c>
      <c r="C36" s="254"/>
      <c r="D36" s="254"/>
      <c r="E36" s="254"/>
      <c r="F36" s="254"/>
      <c r="G36" s="254"/>
      <c r="H36" s="42"/>
      <c r="I36" s="42"/>
      <c r="J36" s="42"/>
      <c r="K36" s="42"/>
      <c r="L36" s="42"/>
      <c r="M36" s="42"/>
      <c r="N36" s="42"/>
      <c r="O36" s="42"/>
      <c r="P36" s="42"/>
      <c r="Q36" s="42"/>
      <c r="R36" s="42"/>
      <c r="S36" s="42"/>
      <c r="T36" s="42"/>
      <c r="U36" s="42"/>
      <c r="V36" s="42"/>
      <c r="W36" s="163" t="s">
        <v>217</v>
      </c>
      <c r="X36" s="163" t="b">
        <v>0</v>
      </c>
    </row>
    <row r="37" spans="1:34" ht="30" customHeight="1" x14ac:dyDescent="0.25">
      <c r="A37" s="76"/>
      <c r="B37" s="286" t="s">
        <v>120</v>
      </c>
      <c r="C37" s="286"/>
      <c r="D37" s="286"/>
      <c r="E37" s="286"/>
      <c r="F37" s="286"/>
      <c r="G37" s="286"/>
      <c r="H37" s="286"/>
      <c r="I37" s="286"/>
      <c r="J37" s="286"/>
      <c r="K37" s="42"/>
      <c r="L37" s="42"/>
      <c r="M37" s="42"/>
      <c r="N37" s="42"/>
      <c r="O37" s="42"/>
      <c r="P37" s="42"/>
      <c r="Q37" s="42"/>
      <c r="R37" s="42"/>
      <c r="S37" s="42"/>
      <c r="T37" s="42"/>
      <c r="U37" s="42"/>
      <c r="V37" s="42"/>
      <c r="X37" s="161"/>
    </row>
    <row r="38" spans="1:34" ht="54.75" customHeight="1" x14ac:dyDescent="0.25">
      <c r="A38" s="76"/>
      <c r="B38" s="248" t="s">
        <v>379</v>
      </c>
      <c r="C38" s="249"/>
      <c r="D38" s="249"/>
      <c r="E38" s="249"/>
      <c r="F38" s="249"/>
      <c r="G38" s="249"/>
      <c r="H38" s="249"/>
      <c r="I38" s="249"/>
      <c r="J38" s="250"/>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137</v>
      </c>
      <c r="B40" s="254" t="s">
        <v>359</v>
      </c>
      <c r="C40" s="254"/>
      <c r="D40" s="254"/>
      <c r="E40" s="254"/>
      <c r="F40" s="254"/>
      <c r="G40" s="254"/>
      <c r="H40" s="254"/>
      <c r="I40" s="254"/>
      <c r="J40" s="254"/>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351</v>
      </c>
      <c r="X41" s="161" t="b">
        <v>1</v>
      </c>
    </row>
    <row r="42" spans="1:34" s="40" customFormat="1" ht="15" customHeight="1" x14ac:dyDescent="0.25">
      <c r="A42" s="76" t="s">
        <v>145</v>
      </c>
      <c r="B42" s="254" t="s">
        <v>124</v>
      </c>
      <c r="C42" s="254"/>
      <c r="D42" s="254"/>
      <c r="E42" s="254"/>
      <c r="F42" s="254"/>
      <c r="G42" s="254"/>
      <c r="H42" s="254"/>
      <c r="I42" s="254"/>
      <c r="J42" s="254"/>
      <c r="K42" s="44"/>
      <c r="L42" s="44"/>
      <c r="M42" s="44"/>
      <c r="N42" s="44"/>
      <c r="O42" s="44"/>
      <c r="P42" s="44"/>
      <c r="Q42" s="44"/>
      <c r="R42" s="44"/>
      <c r="S42" s="44"/>
      <c r="T42" s="44"/>
      <c r="U42" s="44"/>
      <c r="V42" s="44"/>
      <c r="W42" s="223" t="s">
        <v>350</v>
      </c>
      <c r="X42" s="162" t="b">
        <v>0</v>
      </c>
    </row>
    <row r="43" spans="1:34" ht="73.5" customHeight="1" x14ac:dyDescent="0.25">
      <c r="A43" s="76"/>
      <c r="B43" s="248" t="s">
        <v>383</v>
      </c>
      <c r="C43" s="249"/>
      <c r="D43" s="249"/>
      <c r="E43" s="249"/>
      <c r="F43" s="249"/>
      <c r="G43" s="249"/>
      <c r="H43" s="249"/>
      <c r="I43" s="249"/>
      <c r="J43" s="250"/>
      <c r="K43" s="42"/>
      <c r="L43" s="42"/>
      <c r="M43" s="42"/>
      <c r="N43" s="42"/>
      <c r="O43" s="42"/>
      <c r="P43" s="42"/>
      <c r="Q43" s="42"/>
      <c r="R43" s="42"/>
      <c r="S43" s="42"/>
      <c r="T43" s="42"/>
      <c r="U43" s="42"/>
      <c r="V43" s="42"/>
      <c r="W43" s="161"/>
      <c r="X43" s="161"/>
    </row>
    <row r="44" spans="1:34" s="40" customFormat="1" x14ac:dyDescent="0.25">
      <c r="A44" s="76" t="s">
        <v>145</v>
      </c>
      <c r="B44" s="254" t="s">
        <v>210</v>
      </c>
      <c r="C44" s="254"/>
      <c r="D44" s="254"/>
      <c r="E44" s="254"/>
      <c r="F44" s="254"/>
      <c r="G44" s="254"/>
      <c r="H44" s="254"/>
      <c r="I44" s="254"/>
      <c r="J44" s="254"/>
      <c r="K44" s="44"/>
      <c r="L44" s="44"/>
      <c r="M44" s="44"/>
      <c r="N44" s="44"/>
      <c r="O44" s="44"/>
      <c r="P44" s="44"/>
      <c r="Q44" s="44"/>
      <c r="R44" s="44"/>
      <c r="S44" s="44"/>
      <c r="T44" s="44"/>
      <c r="U44" s="44"/>
      <c r="V44" s="44"/>
      <c r="W44" s="162"/>
      <c r="X44" s="162"/>
    </row>
    <row r="45" spans="1:34" ht="46.5" customHeight="1" x14ac:dyDescent="0.25">
      <c r="A45" s="76"/>
      <c r="B45" s="248" t="s">
        <v>378</v>
      </c>
      <c r="C45" s="249"/>
      <c r="D45" s="249"/>
      <c r="E45" s="249"/>
      <c r="F45" s="249"/>
      <c r="G45" s="249"/>
      <c r="H45" s="249"/>
      <c r="I45" s="249"/>
      <c r="J45" s="250"/>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233</v>
      </c>
      <c r="AA46" s="193" t="s">
        <v>287</v>
      </c>
    </row>
    <row r="47" spans="1:34" s="40" customFormat="1" ht="30" customHeight="1" x14ac:dyDescent="0.25">
      <c r="A47" s="76" t="s">
        <v>349</v>
      </c>
      <c r="B47" s="254" t="s">
        <v>125</v>
      </c>
      <c r="C47" s="254"/>
      <c r="D47" s="254"/>
      <c r="E47" s="254"/>
      <c r="F47" s="254"/>
      <c r="G47" s="254"/>
      <c r="H47" s="254"/>
      <c r="I47" s="254"/>
      <c r="J47" s="254"/>
      <c r="K47" s="44"/>
      <c r="L47" s="44"/>
      <c r="M47" s="44"/>
      <c r="N47" s="44"/>
      <c r="O47" s="44"/>
      <c r="P47" s="44"/>
      <c r="Q47" s="44"/>
      <c r="R47" s="44"/>
      <c r="S47" s="44"/>
      <c r="T47" s="44"/>
      <c r="U47" s="44"/>
      <c r="V47" s="44"/>
      <c r="W47" s="162"/>
      <c r="X47" s="162"/>
      <c r="Z47" s="181" t="s">
        <v>232</v>
      </c>
      <c r="AA47" s="193" t="s">
        <v>293</v>
      </c>
    </row>
    <row r="48" spans="1:34" ht="21" customHeight="1" x14ac:dyDescent="0.25">
      <c r="A48" s="148" t="s">
        <v>92</v>
      </c>
      <c r="B48" s="289" t="s">
        <v>286</v>
      </c>
      <c r="C48" s="290"/>
      <c r="D48" s="291" t="s">
        <v>368</v>
      </c>
      <c r="E48" s="291"/>
      <c r="F48" s="291"/>
      <c r="G48" s="291"/>
      <c r="H48" s="291"/>
      <c r="I48" s="291"/>
      <c r="J48" s="292"/>
      <c r="K48" s="42"/>
      <c r="L48" s="42"/>
      <c r="M48" s="42"/>
      <c r="N48" s="42"/>
      <c r="O48" s="42"/>
      <c r="P48" s="42"/>
      <c r="Q48" s="42"/>
      <c r="R48" s="42"/>
      <c r="S48" s="42"/>
      <c r="T48" s="42"/>
      <c r="U48" s="42"/>
      <c r="V48" s="42"/>
      <c r="W48" s="161"/>
      <c r="X48" s="161"/>
      <c r="Z48" s="181" t="s">
        <v>234</v>
      </c>
      <c r="AA48" s="193" t="s">
        <v>294</v>
      </c>
      <c r="AB48" s="193"/>
      <c r="AC48" s="193"/>
      <c r="AD48" s="193"/>
      <c r="AE48" s="193"/>
      <c r="AF48" s="193"/>
      <c r="AG48" s="193"/>
      <c r="AH48" s="193"/>
    </row>
    <row r="49" spans="1:34" ht="21" customHeight="1" x14ac:dyDescent="0.25">
      <c r="A49" s="148" t="s">
        <v>93</v>
      </c>
      <c r="B49" s="289" t="s">
        <v>284</v>
      </c>
      <c r="C49" s="290"/>
      <c r="D49" s="291" t="s">
        <v>369</v>
      </c>
      <c r="E49" s="291"/>
      <c r="F49" s="291"/>
      <c r="G49" s="291"/>
      <c r="H49" s="291"/>
      <c r="I49" s="291"/>
      <c r="J49" s="292"/>
      <c r="K49" s="42"/>
      <c r="L49" s="42"/>
      <c r="M49" s="42"/>
      <c r="N49" s="42"/>
      <c r="O49" s="42"/>
      <c r="P49" s="42"/>
      <c r="Q49" s="42"/>
      <c r="R49" s="42"/>
      <c r="S49" s="42"/>
      <c r="T49" s="42"/>
      <c r="U49" s="42"/>
      <c r="V49" s="42"/>
      <c r="W49" s="161"/>
      <c r="X49" s="161"/>
      <c r="Z49" s="181" t="s">
        <v>235</v>
      </c>
      <c r="AA49" s="193" t="s">
        <v>300</v>
      </c>
      <c r="AB49" s="193"/>
      <c r="AC49" s="193"/>
      <c r="AD49" s="193"/>
      <c r="AE49" s="193"/>
      <c r="AF49" s="193"/>
      <c r="AG49" s="193"/>
      <c r="AH49" s="193"/>
    </row>
    <row r="50" spans="1:34" ht="21" customHeight="1" x14ac:dyDescent="0.25">
      <c r="A50" s="148" t="s">
        <v>94</v>
      </c>
      <c r="B50" s="289" t="s">
        <v>285</v>
      </c>
      <c r="C50" s="290"/>
      <c r="D50" s="291" t="s">
        <v>364</v>
      </c>
      <c r="E50" s="291"/>
      <c r="F50" s="291"/>
      <c r="G50" s="291"/>
      <c r="H50" s="291"/>
      <c r="I50" s="291"/>
      <c r="J50" s="292"/>
      <c r="K50" s="42"/>
      <c r="L50" s="42"/>
      <c r="M50" s="42"/>
      <c r="N50" s="42"/>
      <c r="O50" s="42"/>
      <c r="P50" s="42"/>
      <c r="Q50" s="42"/>
      <c r="R50" s="42"/>
      <c r="S50" s="42"/>
      <c r="T50" s="42"/>
      <c r="U50" s="42"/>
      <c r="V50" s="42"/>
      <c r="W50" s="161"/>
      <c r="X50" s="161"/>
      <c r="Z50" s="181" t="s">
        <v>252</v>
      </c>
      <c r="AA50" s="217" t="s">
        <v>344</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253</v>
      </c>
      <c r="AA51" s="193" t="s">
        <v>295</v>
      </c>
    </row>
    <row r="52" spans="1:34" ht="26.25" customHeight="1" x14ac:dyDescent="0.4">
      <c r="A52" s="80"/>
      <c r="B52" s="82" t="s">
        <v>147</v>
      </c>
      <c r="C52" s="81"/>
      <c r="D52" s="81"/>
      <c r="E52" s="81"/>
      <c r="F52" s="81"/>
      <c r="G52" s="81"/>
      <c r="H52" s="81"/>
      <c r="I52" s="81"/>
      <c r="J52" s="81"/>
      <c r="K52" s="80"/>
      <c r="L52" s="80"/>
      <c r="M52" s="80"/>
      <c r="N52" s="80"/>
      <c r="O52" s="80"/>
      <c r="P52" s="80"/>
      <c r="Q52" s="80"/>
      <c r="R52" s="80"/>
      <c r="S52" s="80"/>
      <c r="T52" s="80"/>
      <c r="U52" s="80"/>
      <c r="V52" s="80"/>
      <c r="W52" s="161"/>
      <c r="X52" s="161"/>
      <c r="AA52" s="193" t="s">
        <v>296</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297</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298</v>
      </c>
    </row>
    <row r="55" spans="1:34" hidden="1" outlineLevel="1" x14ac:dyDescent="0.25">
      <c r="A55" s="75"/>
      <c r="B55" s="141" t="s">
        <v>148</v>
      </c>
      <c r="C55" s="77"/>
      <c r="D55" s="77"/>
      <c r="E55" s="77"/>
      <c r="F55" s="77"/>
      <c r="G55" s="77"/>
      <c r="H55" s="77"/>
      <c r="I55" s="77"/>
      <c r="J55" s="77"/>
      <c r="K55" s="47"/>
      <c r="L55" s="47"/>
      <c r="M55" s="47"/>
      <c r="N55" s="47"/>
      <c r="O55" s="47"/>
      <c r="P55" s="47"/>
      <c r="Q55" s="47"/>
      <c r="R55" s="47"/>
      <c r="S55" s="47"/>
      <c r="T55" s="47"/>
      <c r="U55" s="47"/>
      <c r="V55" s="47"/>
      <c r="W55" s="161"/>
      <c r="X55" s="161"/>
      <c r="AA55" s="193" t="s">
        <v>299</v>
      </c>
    </row>
    <row r="56" spans="1:34" hidden="1"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286</v>
      </c>
    </row>
    <row r="57" spans="1:34" hidden="1" outlineLevel="1" x14ac:dyDescent="0.25">
      <c r="A57" s="76" t="s">
        <v>152</v>
      </c>
      <c r="B57" s="262" t="s">
        <v>153</v>
      </c>
      <c r="C57" s="262"/>
      <c r="D57" s="262"/>
      <c r="E57" s="262"/>
      <c r="F57" s="262"/>
      <c r="G57" s="262"/>
      <c r="H57" s="262"/>
      <c r="I57" s="262"/>
      <c r="J57" s="262"/>
      <c r="K57" s="42"/>
      <c r="L57" s="42"/>
      <c r="M57" s="42"/>
      <c r="N57" s="42"/>
      <c r="O57" s="42"/>
      <c r="P57" s="42"/>
      <c r="Q57" s="42"/>
      <c r="R57" s="42"/>
      <c r="S57" s="42"/>
      <c r="T57" s="42"/>
      <c r="U57" s="42"/>
      <c r="V57" s="42"/>
      <c r="W57" s="161"/>
      <c r="X57" s="161"/>
      <c r="AA57" s="193" t="s">
        <v>284</v>
      </c>
    </row>
    <row r="58" spans="1:34" ht="28.5" hidden="1" customHeight="1" outlineLevel="1" x14ac:dyDescent="0.25">
      <c r="A58" s="42"/>
      <c r="B58" s="248"/>
      <c r="C58" s="249"/>
      <c r="D58" s="249"/>
      <c r="E58" s="249"/>
      <c r="F58" s="249"/>
      <c r="G58" s="249"/>
      <c r="H58" s="249"/>
      <c r="I58" s="249"/>
      <c r="J58" s="250"/>
      <c r="K58" s="42"/>
      <c r="L58" s="42"/>
      <c r="M58" s="42"/>
      <c r="N58" s="42"/>
      <c r="O58" s="42"/>
      <c r="P58" s="42"/>
      <c r="Q58" s="42"/>
      <c r="R58" s="42"/>
      <c r="S58" s="42"/>
      <c r="T58" s="42"/>
      <c r="U58" s="42"/>
      <c r="V58" s="42"/>
      <c r="W58" s="161"/>
      <c r="X58" s="161"/>
      <c r="AA58" s="193" t="s">
        <v>285</v>
      </c>
    </row>
    <row r="59" spans="1:34" collapsed="1"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345</v>
      </c>
    </row>
    <row r="60" spans="1:34" outlineLevel="1" x14ac:dyDescent="0.25">
      <c r="A60" s="75"/>
      <c r="B60" s="141" t="s">
        <v>149</v>
      </c>
      <c r="C60" s="77"/>
      <c r="D60" s="77"/>
      <c r="E60" s="77"/>
      <c r="F60" s="77"/>
      <c r="G60" s="77"/>
      <c r="H60" s="77"/>
      <c r="I60" s="77"/>
      <c r="J60" s="77"/>
      <c r="K60" s="47"/>
      <c r="L60" s="47"/>
      <c r="M60" s="47"/>
      <c r="N60" s="47"/>
      <c r="O60" s="47"/>
      <c r="P60" s="47"/>
      <c r="Q60" s="47"/>
      <c r="R60" s="47"/>
      <c r="S60" s="47"/>
      <c r="T60" s="47"/>
      <c r="U60" s="47"/>
      <c r="V60" s="47"/>
      <c r="W60" s="161"/>
      <c r="X60" s="161"/>
      <c r="AA60" s="193" t="s">
        <v>289</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288</v>
      </c>
    </row>
    <row r="62" spans="1:34" outlineLevel="1" x14ac:dyDescent="0.25">
      <c r="A62" s="76" t="s">
        <v>151</v>
      </c>
      <c r="B62" s="262" t="s">
        <v>154</v>
      </c>
      <c r="C62" s="262"/>
      <c r="D62" s="262"/>
      <c r="E62" s="262"/>
      <c r="F62" s="262"/>
      <c r="G62" s="262"/>
      <c r="H62" s="262"/>
      <c r="I62" s="262"/>
      <c r="J62" s="262"/>
      <c r="K62" s="42"/>
      <c r="L62" s="42"/>
      <c r="M62" s="42"/>
      <c r="N62" s="42"/>
      <c r="O62" s="42"/>
      <c r="P62" s="42"/>
      <c r="Q62" s="42"/>
      <c r="R62" s="42"/>
      <c r="S62" s="42"/>
      <c r="T62" s="42"/>
      <c r="U62" s="42"/>
      <c r="V62" s="42"/>
      <c r="AA62" s="193" t="s">
        <v>290</v>
      </c>
    </row>
    <row r="63" spans="1:34" ht="27" customHeight="1" outlineLevel="1" x14ac:dyDescent="0.25">
      <c r="A63" s="76"/>
      <c r="B63" s="248" t="s">
        <v>370</v>
      </c>
      <c r="C63" s="249"/>
      <c r="D63" s="249"/>
      <c r="E63" s="249"/>
      <c r="F63" s="249"/>
      <c r="G63" s="249"/>
      <c r="H63" s="249"/>
      <c r="I63" s="249"/>
      <c r="J63" s="250"/>
      <c r="K63" s="42"/>
      <c r="L63" s="42"/>
      <c r="M63" s="42"/>
      <c r="N63" s="42"/>
      <c r="O63" s="42"/>
      <c r="P63" s="42"/>
      <c r="Q63" s="42"/>
      <c r="R63" s="42"/>
      <c r="S63" s="42"/>
      <c r="T63" s="42"/>
      <c r="U63" s="42"/>
      <c r="V63" s="42"/>
      <c r="AA63" s="217" t="s">
        <v>346</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291</v>
      </c>
    </row>
    <row r="65" spans="1:27" s="40" customFormat="1" ht="14.45" customHeight="1" outlineLevel="1" x14ac:dyDescent="0.25">
      <c r="A65" s="76" t="s">
        <v>155</v>
      </c>
      <c r="B65" s="262" t="s">
        <v>157</v>
      </c>
      <c r="C65" s="262"/>
      <c r="D65" s="262"/>
      <c r="E65" s="262"/>
      <c r="F65" s="262"/>
      <c r="G65" s="262"/>
      <c r="H65" s="262"/>
      <c r="I65" s="262"/>
      <c r="J65" s="262"/>
      <c r="K65" s="44"/>
      <c r="L65" s="44"/>
      <c r="M65" s="44"/>
      <c r="N65" s="44"/>
      <c r="O65" s="44"/>
      <c r="P65" s="44"/>
      <c r="Q65" s="44"/>
      <c r="R65" s="44"/>
      <c r="S65" s="44"/>
      <c r="T65" s="44"/>
      <c r="U65" s="44"/>
      <c r="V65" s="44"/>
      <c r="AA65" s="193" t="s">
        <v>292</v>
      </c>
    </row>
    <row r="66" spans="1:27" ht="23.45" customHeight="1" outlineLevel="1" x14ac:dyDescent="0.25">
      <c r="A66" s="76"/>
      <c r="B66" s="57"/>
      <c r="C66" s="252" t="s">
        <v>74</v>
      </c>
      <c r="D66" s="252"/>
      <c r="E66" s="252"/>
      <c r="F66" s="253">
        <v>42953</v>
      </c>
      <c r="G66" s="251"/>
      <c r="H66" s="251"/>
      <c r="I66" s="251"/>
      <c r="J66" s="251"/>
      <c r="K66" s="42"/>
      <c r="L66" s="42"/>
      <c r="M66" s="42"/>
      <c r="N66" s="42"/>
      <c r="O66" s="42"/>
      <c r="P66" s="42"/>
      <c r="Q66" s="42"/>
      <c r="R66" s="42"/>
      <c r="S66" s="42"/>
      <c r="T66" s="42"/>
      <c r="U66" s="42"/>
      <c r="V66" s="42"/>
    </row>
    <row r="67" spans="1:27" ht="35.25" customHeight="1" outlineLevel="1" x14ac:dyDescent="0.25">
      <c r="A67" s="76"/>
      <c r="B67" s="57"/>
      <c r="C67" s="252" t="s">
        <v>75</v>
      </c>
      <c r="D67" s="252"/>
      <c r="E67" s="252"/>
      <c r="F67" s="251" t="s">
        <v>377</v>
      </c>
      <c r="G67" s="251"/>
      <c r="H67" s="251"/>
      <c r="I67" s="251"/>
      <c r="J67" s="251"/>
      <c r="K67" s="42"/>
      <c r="L67" s="42"/>
      <c r="M67" s="42"/>
      <c r="N67" s="42"/>
      <c r="O67" s="42"/>
      <c r="P67" s="42"/>
      <c r="Q67" s="42"/>
      <c r="R67" s="42"/>
      <c r="S67" s="42"/>
      <c r="T67" s="42"/>
      <c r="U67" s="42"/>
      <c r="V67" s="42"/>
    </row>
    <row r="68" spans="1:27" ht="23.45" customHeight="1" outlineLevel="1" x14ac:dyDescent="0.25">
      <c r="A68" s="76"/>
      <c r="B68" s="57"/>
      <c r="C68" s="252" t="s">
        <v>76</v>
      </c>
      <c r="D68" s="252"/>
      <c r="E68" s="252"/>
      <c r="F68" s="251" t="s">
        <v>381</v>
      </c>
      <c r="G68" s="251"/>
      <c r="H68" s="251"/>
      <c r="I68" s="251"/>
      <c r="J68" s="251"/>
      <c r="K68" s="42"/>
      <c r="L68" s="42"/>
      <c r="M68" s="42"/>
      <c r="N68" s="42"/>
      <c r="O68" s="42"/>
      <c r="P68" s="42"/>
      <c r="Q68" s="42"/>
      <c r="R68" s="42"/>
      <c r="S68" s="42"/>
      <c r="T68" s="42"/>
      <c r="U68" s="42"/>
      <c r="V68" s="42"/>
    </row>
    <row r="69" spans="1:27" ht="23.45" customHeight="1" outlineLevel="1" x14ac:dyDescent="0.25">
      <c r="A69" s="76"/>
      <c r="B69" s="57"/>
      <c r="C69" s="252" t="s">
        <v>77</v>
      </c>
      <c r="D69" s="252"/>
      <c r="E69" s="252"/>
      <c r="F69" s="251" t="s">
        <v>371</v>
      </c>
      <c r="G69" s="251"/>
      <c r="H69" s="251"/>
      <c r="I69" s="251"/>
      <c r="J69" s="251"/>
      <c r="K69" s="42"/>
      <c r="L69" s="42"/>
      <c r="M69" s="42"/>
      <c r="N69" s="42"/>
      <c r="O69" s="42"/>
      <c r="P69" s="42"/>
      <c r="Q69" s="42"/>
      <c r="R69" s="42"/>
      <c r="S69" s="42"/>
      <c r="T69" s="42"/>
      <c r="U69" s="42"/>
      <c r="V69" s="42"/>
    </row>
    <row r="70" spans="1:27" ht="23.45" customHeight="1" outlineLevel="1" x14ac:dyDescent="0.25">
      <c r="A70" s="76"/>
      <c r="B70" s="57"/>
      <c r="C70" s="252" t="s">
        <v>78</v>
      </c>
      <c r="D70" s="252"/>
      <c r="E70" s="252"/>
      <c r="F70" s="251" t="s">
        <v>372</v>
      </c>
      <c r="G70" s="251"/>
      <c r="H70" s="251"/>
      <c r="I70" s="251"/>
      <c r="J70" s="251"/>
      <c r="K70" s="42"/>
      <c r="L70" s="42"/>
      <c r="M70" s="42"/>
      <c r="N70" s="42"/>
      <c r="O70" s="42"/>
      <c r="P70" s="42"/>
      <c r="Q70" s="42"/>
      <c r="R70" s="42"/>
      <c r="S70" s="42"/>
      <c r="T70" s="42"/>
      <c r="U70" s="42"/>
      <c r="V70" s="42"/>
    </row>
    <row r="71" spans="1:27" ht="35.25" customHeight="1" outlineLevel="1" x14ac:dyDescent="0.25">
      <c r="A71" s="76"/>
      <c r="B71" s="57"/>
      <c r="C71" s="252" t="s">
        <v>121</v>
      </c>
      <c r="D71" s="252"/>
      <c r="E71" s="252"/>
      <c r="F71" s="251" t="s">
        <v>373</v>
      </c>
      <c r="G71" s="251"/>
      <c r="H71" s="251"/>
      <c r="I71" s="251"/>
      <c r="J71" s="251"/>
      <c r="K71" s="42"/>
      <c r="L71" s="42"/>
      <c r="M71" s="42"/>
      <c r="N71" s="42"/>
      <c r="O71" s="42"/>
      <c r="P71" s="42"/>
      <c r="Q71" s="42"/>
      <c r="R71" s="42"/>
      <c r="S71" s="42"/>
      <c r="T71" s="42"/>
      <c r="U71" s="42"/>
      <c r="V71" s="42"/>
    </row>
    <row r="72" spans="1:27" ht="23.45" customHeight="1" outlineLevel="1" x14ac:dyDescent="0.25">
      <c r="A72" s="76"/>
      <c r="B72" s="57"/>
      <c r="C72" s="252" t="s">
        <v>91</v>
      </c>
      <c r="D72" s="252"/>
      <c r="E72" s="252"/>
      <c r="F72" s="251" t="s">
        <v>382</v>
      </c>
      <c r="G72" s="251"/>
      <c r="H72" s="251"/>
      <c r="I72" s="251"/>
      <c r="J72" s="251"/>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156</v>
      </c>
      <c r="B74" s="281" t="s">
        <v>158</v>
      </c>
      <c r="C74" s="281"/>
      <c r="D74" s="281"/>
      <c r="E74" s="281"/>
      <c r="F74" s="281"/>
      <c r="G74" s="281"/>
      <c r="H74" s="281"/>
      <c r="I74" s="281"/>
      <c r="J74" s="281"/>
      <c r="K74" s="44"/>
      <c r="L74" s="44"/>
      <c r="M74" s="44"/>
      <c r="N74" s="44"/>
      <c r="O74" s="44"/>
      <c r="P74" s="44"/>
      <c r="Q74" s="44"/>
      <c r="R74" s="44"/>
      <c r="S74" s="44"/>
      <c r="T74" s="44"/>
      <c r="U74" s="44"/>
      <c r="V74" s="44"/>
    </row>
    <row r="75" spans="1:27" ht="26.25" customHeight="1" outlineLevel="1" x14ac:dyDescent="0.25">
      <c r="A75" s="76"/>
      <c r="B75" s="248" t="s">
        <v>374</v>
      </c>
      <c r="C75" s="249"/>
      <c r="D75" s="249"/>
      <c r="E75" s="249"/>
      <c r="F75" s="249"/>
      <c r="G75" s="249"/>
      <c r="H75" s="249"/>
      <c r="I75" s="249"/>
      <c r="J75" s="250"/>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25">
      <c r="A77" s="75"/>
      <c r="B77" s="141" t="s">
        <v>150</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hidden="1" customHeight="1" outlineLevel="1" x14ac:dyDescent="0.25">
      <c r="A78" s="76" t="s">
        <v>159</v>
      </c>
      <c r="B78" s="262" t="s">
        <v>160</v>
      </c>
      <c r="C78" s="262"/>
      <c r="D78" s="262"/>
      <c r="E78" s="262"/>
      <c r="F78" s="262"/>
      <c r="G78" s="262"/>
      <c r="H78" s="262"/>
      <c r="I78" s="262"/>
      <c r="J78" s="262"/>
      <c r="K78" s="44"/>
      <c r="L78" s="44"/>
      <c r="M78" s="44"/>
      <c r="N78" s="44"/>
      <c r="O78" s="44"/>
      <c r="P78" s="44"/>
      <c r="Q78" s="44"/>
      <c r="R78" s="44"/>
      <c r="S78" s="44"/>
      <c r="T78" s="44"/>
      <c r="U78" s="44"/>
      <c r="V78" s="44"/>
    </row>
    <row r="79" spans="1:27" ht="27.75" hidden="1" customHeight="1" outlineLevel="1" x14ac:dyDescent="0.25">
      <c r="A79" s="46"/>
      <c r="B79" s="248"/>
      <c r="C79" s="249"/>
      <c r="D79" s="249"/>
      <c r="E79" s="249"/>
      <c r="F79" s="249"/>
      <c r="G79" s="249"/>
      <c r="H79" s="249"/>
      <c r="I79" s="249"/>
      <c r="J79" s="250"/>
      <c r="K79" s="42"/>
      <c r="L79" s="42"/>
      <c r="M79" s="42"/>
      <c r="N79" s="42"/>
      <c r="O79" s="42"/>
      <c r="P79" s="42"/>
      <c r="Q79" s="42"/>
      <c r="R79" s="42"/>
      <c r="S79" s="42"/>
      <c r="T79" s="42"/>
      <c r="U79" s="42"/>
      <c r="V79" s="42"/>
    </row>
    <row r="80" spans="1:27" collapsed="1"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263</v>
      </c>
      <c r="B83" s="254" t="s">
        <v>161</v>
      </c>
      <c r="C83" s="254"/>
      <c r="D83" s="254"/>
      <c r="E83" s="254"/>
      <c r="F83" s="254"/>
      <c r="G83" s="254"/>
      <c r="H83" s="254"/>
      <c r="I83" s="254"/>
      <c r="J83" s="254"/>
      <c r="K83" s="44"/>
      <c r="L83" s="44"/>
      <c r="M83" s="44"/>
      <c r="N83" s="44"/>
      <c r="O83" s="44"/>
      <c r="P83" s="44"/>
      <c r="Q83" s="44"/>
      <c r="R83" s="44"/>
      <c r="S83" s="44"/>
      <c r="T83" s="44"/>
      <c r="U83" s="44"/>
      <c r="V83" s="44"/>
    </row>
    <row r="84" spans="1:22" ht="30" customHeight="1" x14ac:dyDescent="0.25">
      <c r="A84" s="45"/>
      <c r="B84" s="248"/>
      <c r="C84" s="249"/>
      <c r="D84" s="249"/>
      <c r="E84" s="249"/>
      <c r="F84" s="249"/>
      <c r="G84" s="249"/>
      <c r="H84" s="249"/>
      <c r="I84" s="249"/>
      <c r="J84" s="250"/>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133</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128</v>
      </c>
      <c r="B88" s="254" t="s">
        <v>126</v>
      </c>
      <c r="C88" s="254"/>
      <c r="D88" s="254"/>
      <c r="E88" s="254"/>
      <c r="F88" s="254"/>
      <c r="G88" s="254"/>
      <c r="H88" s="254"/>
      <c r="I88" s="254"/>
      <c r="J88" s="254"/>
      <c r="K88" s="44"/>
      <c r="L88" s="44"/>
      <c r="M88" s="44"/>
      <c r="N88" s="44"/>
      <c r="O88" s="44"/>
      <c r="P88" s="44"/>
      <c r="Q88" s="44"/>
      <c r="R88" s="44"/>
      <c r="S88" s="44"/>
      <c r="T88" s="44"/>
      <c r="U88" s="44"/>
      <c r="V88" s="44"/>
    </row>
    <row r="89" spans="1:22" ht="27.75" customHeight="1" x14ac:dyDescent="0.25">
      <c r="A89" s="53"/>
      <c r="B89" s="285" t="s">
        <v>123</v>
      </c>
      <c r="C89" s="285"/>
      <c r="D89" s="285"/>
      <c r="E89" s="285"/>
      <c r="F89" s="285"/>
      <c r="G89" s="285"/>
      <c r="H89" s="285"/>
      <c r="I89" s="285"/>
      <c r="J89" s="285"/>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61" t="s">
        <v>102</v>
      </c>
      <c r="C91" s="261"/>
      <c r="D91" s="179" t="str">
        <f t="shared" ref="D91:I91" si="0">D$112</f>
        <v>FY19</v>
      </c>
      <c r="E91" s="179" t="str">
        <f t="shared" si="0"/>
        <v>FY20</v>
      </c>
      <c r="F91" s="179" t="str">
        <f t="shared" si="0"/>
        <v>FY21</v>
      </c>
      <c r="G91" s="179" t="str">
        <f t="shared" si="0"/>
        <v>FY22</v>
      </c>
      <c r="H91" s="179" t="str">
        <f t="shared" si="0"/>
        <v>FY23</v>
      </c>
      <c r="I91" s="179" t="str">
        <f t="shared" si="0"/>
        <v>FY24</v>
      </c>
      <c r="J91" s="85" t="s">
        <v>275</v>
      </c>
      <c r="K91" s="42"/>
      <c r="L91" s="42"/>
      <c r="M91" s="42"/>
      <c r="N91" s="42"/>
      <c r="O91" s="42"/>
      <c r="P91" s="42"/>
      <c r="Q91" s="42"/>
      <c r="R91" s="42"/>
      <c r="S91" s="42"/>
      <c r="T91" s="42"/>
      <c r="U91" s="42"/>
      <c r="V91" s="42"/>
    </row>
    <row r="92" spans="1:22" ht="15" customHeight="1" x14ac:dyDescent="0.25">
      <c r="A92" s="53"/>
      <c r="B92" s="260" t="s">
        <v>117</v>
      </c>
      <c r="C92" s="260"/>
      <c r="D92" s="66">
        <f t="shared" ref="D92:I92" si="1">(D128+D140)-SUM(D102)</f>
        <v>121853.6</v>
      </c>
      <c r="E92" s="66">
        <f t="shared" si="1"/>
        <v>133735.9375</v>
      </c>
      <c r="F92" s="66">
        <f t="shared" si="1"/>
        <v>132528</v>
      </c>
      <c r="G92" s="66">
        <f t="shared" si="1"/>
        <v>131112.98749999999</v>
      </c>
      <c r="H92" s="66">
        <f t="shared" si="1"/>
        <v>129490.90000000002</v>
      </c>
      <c r="I92" s="66">
        <f t="shared" si="1"/>
        <v>132389.95000000001</v>
      </c>
      <c r="J92" s="62">
        <f>SUM(D92:I92)</f>
        <v>781111.375</v>
      </c>
      <c r="K92" s="42"/>
      <c r="L92" s="42"/>
      <c r="M92" s="42"/>
      <c r="N92" s="42"/>
      <c r="O92" s="42"/>
      <c r="P92" s="42"/>
      <c r="Q92" s="42"/>
      <c r="R92" s="42"/>
      <c r="S92" s="42"/>
      <c r="T92" s="42"/>
      <c r="U92" s="42"/>
      <c r="V92" s="42"/>
    </row>
    <row r="93" spans="1:22" ht="15" hidden="1" customHeight="1" outlineLevel="1" x14ac:dyDescent="0.25">
      <c r="A93" s="53"/>
      <c r="B93" s="279" t="s">
        <v>238</v>
      </c>
      <c r="C93" s="280"/>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9" t="s">
        <v>239</v>
      </c>
      <c r="C94" s="280"/>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9" t="s">
        <v>240</v>
      </c>
      <c r="C95" s="280"/>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9" t="s">
        <v>241</v>
      </c>
      <c r="C96" s="280"/>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61" t="s">
        <v>0</v>
      </c>
      <c r="C97" s="261"/>
      <c r="D97" s="92"/>
      <c r="E97" s="92"/>
      <c r="F97" s="93"/>
      <c r="G97" s="93"/>
      <c r="H97" s="93"/>
      <c r="I97" s="93"/>
      <c r="J97" s="94"/>
      <c r="K97" s="42"/>
      <c r="L97" s="42"/>
      <c r="M97" s="42"/>
      <c r="N97" s="42"/>
      <c r="O97" s="42"/>
      <c r="P97" s="42"/>
      <c r="Q97" s="42"/>
      <c r="R97" s="42"/>
      <c r="S97" s="42"/>
      <c r="T97" s="42"/>
      <c r="U97" s="42"/>
      <c r="V97" s="42"/>
    </row>
    <row r="98" spans="1:24" x14ac:dyDescent="0.25">
      <c r="A98" s="53"/>
      <c r="B98" s="260" t="s">
        <v>1</v>
      </c>
      <c r="C98" s="260"/>
      <c r="D98" s="232"/>
      <c r="E98" s="232"/>
      <c r="F98" s="232"/>
      <c r="G98" s="232"/>
      <c r="H98" s="232"/>
      <c r="I98" s="232"/>
      <c r="J98" s="62">
        <f t="shared" ref="J98:J102" si="3">SUM(D98:I98)</f>
        <v>0</v>
      </c>
      <c r="K98" s="42"/>
      <c r="L98" s="42"/>
      <c r="M98" s="42"/>
      <c r="N98" s="42"/>
      <c r="O98" s="42"/>
      <c r="P98" s="42"/>
      <c r="Q98" s="42"/>
      <c r="R98" s="42"/>
      <c r="S98" s="42"/>
      <c r="T98" s="42"/>
      <c r="U98" s="42"/>
      <c r="V98" s="42"/>
    </row>
    <row r="99" spans="1:24" x14ac:dyDescent="0.25">
      <c r="A99" s="53"/>
      <c r="B99" s="260" t="s">
        <v>23</v>
      </c>
      <c r="C99" s="260"/>
      <c r="D99" s="246">
        <f t="shared" ref="D99:I99" si="4">(D119-D101)*0.1</f>
        <v>15231.7</v>
      </c>
      <c r="E99" s="246">
        <f t="shared" si="4"/>
        <v>17256.250000000004</v>
      </c>
      <c r="F99" s="246">
        <f t="shared" si="4"/>
        <v>17670.400000000001</v>
      </c>
      <c r="G99" s="246">
        <f t="shared" si="4"/>
        <v>18084.55</v>
      </c>
      <c r="H99" s="246">
        <f t="shared" si="4"/>
        <v>18498.700000000004</v>
      </c>
      <c r="I99" s="246">
        <f t="shared" si="4"/>
        <v>18912.850000000002</v>
      </c>
      <c r="J99" s="62">
        <f t="shared" si="3"/>
        <v>105654.45000000001</v>
      </c>
      <c r="K99" s="42"/>
      <c r="L99" s="42"/>
      <c r="M99" s="42"/>
      <c r="N99" s="42"/>
      <c r="O99" s="42"/>
      <c r="P99" s="42"/>
      <c r="Q99" s="42"/>
      <c r="R99" s="42"/>
      <c r="S99" s="42"/>
      <c r="T99" s="42"/>
      <c r="U99" s="42"/>
      <c r="V99" s="42"/>
    </row>
    <row r="100" spans="1:24" x14ac:dyDescent="0.25">
      <c r="A100" s="53"/>
      <c r="B100" s="245" t="s">
        <v>375</v>
      </c>
      <c r="C100" s="247"/>
      <c r="D100" s="246">
        <f>(D119-D101)*0.1</f>
        <v>15231.7</v>
      </c>
      <c r="E100" s="246">
        <f>(E119-E101)*0.125</f>
        <v>21570.312500000004</v>
      </c>
      <c r="F100" s="246">
        <f>(F119-F101)*0.15</f>
        <v>26505.599999999999</v>
      </c>
      <c r="G100" s="246">
        <f>(G119-G101)*0.175</f>
        <v>31647.962499999998</v>
      </c>
      <c r="H100" s="246">
        <f>(H119-H101)*0.2</f>
        <v>36997.400000000009</v>
      </c>
      <c r="I100" s="246">
        <f>(I119-I101)*0.2</f>
        <v>37825.700000000004</v>
      </c>
      <c r="J100" s="62">
        <f t="shared" ref="J100" si="5">SUM(D100:I100)</f>
        <v>169778.67500000002</v>
      </c>
      <c r="K100" s="42"/>
      <c r="L100" s="42"/>
      <c r="M100" s="42"/>
      <c r="N100" s="42"/>
      <c r="O100" s="42"/>
      <c r="P100" s="42"/>
      <c r="Q100" s="42"/>
      <c r="R100" s="42"/>
      <c r="S100" s="42"/>
      <c r="T100" s="42"/>
      <c r="U100" s="42"/>
      <c r="V100" s="42"/>
    </row>
    <row r="101" spans="1:24" x14ac:dyDescent="0.25">
      <c r="A101" s="53"/>
      <c r="B101" s="258" t="s">
        <v>376</v>
      </c>
      <c r="C101" s="259"/>
      <c r="D101" s="246">
        <f>(7.62/(7.62+5.5))*(D117*D118)</f>
        <v>211028.28000000003</v>
      </c>
      <c r="E101" s="246">
        <f t="shared" ref="E101:I101" si="6">(7.62/(7.62+5.5))*(E117*E118)</f>
        <v>239077.50000000003</v>
      </c>
      <c r="F101" s="246">
        <f t="shared" si="6"/>
        <v>244815.36000000004</v>
      </c>
      <c r="G101" s="246">
        <f t="shared" si="6"/>
        <v>250553.22000000003</v>
      </c>
      <c r="H101" s="246">
        <f t="shared" si="6"/>
        <v>256291.08000000005</v>
      </c>
      <c r="I101" s="246">
        <f t="shared" si="6"/>
        <v>262028.94000000003</v>
      </c>
      <c r="J101" s="62">
        <f t="shared" si="3"/>
        <v>1463794.3800000001</v>
      </c>
      <c r="K101" s="42"/>
      <c r="L101" s="42"/>
      <c r="M101" s="42"/>
      <c r="N101" s="42"/>
      <c r="O101" s="42"/>
      <c r="P101" s="42"/>
      <c r="Q101" s="42"/>
      <c r="R101" s="42"/>
      <c r="S101" s="42"/>
      <c r="T101" s="42"/>
      <c r="U101" s="42"/>
      <c r="V101" s="42"/>
    </row>
    <row r="102" spans="1:24" x14ac:dyDescent="0.25">
      <c r="A102" s="53"/>
      <c r="B102" s="257" t="s">
        <v>101</v>
      </c>
      <c r="C102" s="257"/>
      <c r="D102" s="66">
        <f>SUM(D98:D101)</f>
        <v>241491.68000000002</v>
      </c>
      <c r="E102" s="66">
        <f>SUM(E98:E101)</f>
        <v>277904.06250000006</v>
      </c>
      <c r="F102" s="66">
        <f t="shared" ref="F102:I102" si="7">SUM(F98:F101)</f>
        <v>288991.36000000004</v>
      </c>
      <c r="G102" s="66">
        <f t="shared" si="7"/>
        <v>300285.73250000004</v>
      </c>
      <c r="H102" s="66">
        <f t="shared" si="7"/>
        <v>311787.18000000005</v>
      </c>
      <c r="I102" s="66">
        <f t="shared" si="7"/>
        <v>318767.49000000005</v>
      </c>
      <c r="J102" s="62">
        <f t="shared" si="3"/>
        <v>1739227.5050000001</v>
      </c>
      <c r="K102" s="42"/>
      <c r="L102" s="42"/>
      <c r="M102" s="42"/>
      <c r="N102" s="42"/>
      <c r="O102" s="42"/>
      <c r="P102" s="42"/>
      <c r="Q102" s="42"/>
      <c r="R102" s="42"/>
      <c r="S102" s="42"/>
      <c r="T102" s="42"/>
      <c r="U102" s="42"/>
      <c r="V102" s="42"/>
    </row>
    <row r="103" spans="1:24" s="40" customFormat="1" ht="15.75" thickBot="1" x14ac:dyDescent="0.3">
      <c r="A103" s="72"/>
      <c r="B103" s="256" t="s">
        <v>2</v>
      </c>
      <c r="C103" s="256"/>
      <c r="D103" s="67">
        <f t="shared" ref="D103:I103" si="8">SUM(D92:D96)+D102</f>
        <v>363345.28</v>
      </c>
      <c r="E103" s="67">
        <f t="shared" si="8"/>
        <v>411640.00000000006</v>
      </c>
      <c r="F103" s="67">
        <f t="shared" si="8"/>
        <v>421519.36000000004</v>
      </c>
      <c r="G103" s="67">
        <f t="shared" si="8"/>
        <v>431398.72000000003</v>
      </c>
      <c r="H103" s="67">
        <f t="shared" si="8"/>
        <v>441278.08000000007</v>
      </c>
      <c r="I103" s="67">
        <f t="shared" si="8"/>
        <v>451157.44000000006</v>
      </c>
      <c r="J103" s="67">
        <f>SUM(J92:J96)+J102</f>
        <v>2520338.88</v>
      </c>
      <c r="K103" s="44"/>
      <c r="L103" s="44"/>
      <c r="M103" s="44"/>
      <c r="N103" s="44"/>
      <c r="O103" s="44"/>
      <c r="P103" s="44"/>
      <c r="Q103" s="44"/>
      <c r="R103" s="44"/>
      <c r="S103" s="44"/>
      <c r="T103" s="44"/>
      <c r="U103" s="44"/>
      <c r="V103" s="44"/>
    </row>
    <row r="104" spans="1:24" ht="15.75" thickTop="1" x14ac:dyDescent="0.25">
      <c r="A104" s="53"/>
      <c r="B104" s="95"/>
      <c r="C104" s="53"/>
      <c r="D104" s="53"/>
      <c r="E104" s="53"/>
      <c r="F104" s="53"/>
      <c r="G104" s="53"/>
      <c r="H104" s="53"/>
      <c r="I104" s="53"/>
      <c r="J104" s="53"/>
      <c r="K104" s="42"/>
      <c r="L104" s="42"/>
      <c r="M104" s="42"/>
      <c r="N104" s="42"/>
      <c r="O104" s="42"/>
      <c r="P104" s="42"/>
      <c r="Q104" s="42"/>
      <c r="R104" s="42"/>
      <c r="S104" s="42"/>
      <c r="T104" s="42"/>
      <c r="U104" s="42"/>
      <c r="V104" s="42"/>
    </row>
    <row r="105" spans="1:24" ht="23.25" customHeight="1" x14ac:dyDescent="0.25">
      <c r="A105" s="76" t="s">
        <v>127</v>
      </c>
      <c r="B105" s="255" t="s">
        <v>353</v>
      </c>
      <c r="C105" s="255"/>
      <c r="D105" s="255"/>
      <c r="E105" s="255"/>
      <c r="F105" s="255"/>
      <c r="G105" s="255"/>
      <c r="H105" s="255"/>
      <c r="I105" s="255"/>
      <c r="J105" s="255"/>
      <c r="K105" s="42"/>
      <c r="L105" s="42"/>
      <c r="M105" s="42"/>
      <c r="N105" s="42"/>
      <c r="O105" s="42"/>
      <c r="P105" s="42"/>
      <c r="Q105" s="42"/>
      <c r="R105" s="42"/>
      <c r="S105" s="42"/>
      <c r="T105" s="42"/>
      <c r="U105" s="42"/>
      <c r="V105" s="42"/>
      <c r="W105" s="163" t="s">
        <v>216</v>
      </c>
      <c r="X105" s="163" t="b">
        <v>0</v>
      </c>
    </row>
    <row r="106" spans="1:24" ht="15" customHeight="1" x14ac:dyDescent="0.25">
      <c r="A106" s="53"/>
      <c r="B106" s="285" t="s">
        <v>352</v>
      </c>
      <c r="C106" s="285"/>
      <c r="D106" s="285"/>
      <c r="E106" s="285"/>
      <c r="F106" s="285"/>
      <c r="G106" s="285"/>
      <c r="H106" s="298"/>
      <c r="I106" s="299"/>
      <c r="K106" s="42"/>
      <c r="L106" s="42"/>
      <c r="M106" s="42"/>
      <c r="N106" s="42"/>
      <c r="O106" s="42"/>
      <c r="P106" s="42"/>
      <c r="Q106" s="42"/>
      <c r="R106" s="42"/>
      <c r="S106" s="42"/>
      <c r="T106" s="42"/>
      <c r="U106" s="42"/>
      <c r="V106" s="42"/>
      <c r="W106" s="163" t="s">
        <v>217</v>
      </c>
      <c r="X106" s="163" t="b">
        <v>0</v>
      </c>
    </row>
    <row r="107" spans="1:24" ht="15" customHeight="1" x14ac:dyDescent="0.25">
      <c r="A107" s="53"/>
      <c r="B107" s="285" t="s">
        <v>358</v>
      </c>
      <c r="C107" s="285"/>
      <c r="D107" s="285"/>
      <c r="E107" s="285"/>
      <c r="F107" s="285"/>
      <c r="G107" s="285"/>
      <c r="H107" s="42"/>
      <c r="I107" s="42"/>
      <c r="J107" s="42"/>
      <c r="K107" s="42"/>
      <c r="L107" s="42"/>
      <c r="M107" s="42"/>
      <c r="N107" s="42"/>
      <c r="O107" s="42"/>
      <c r="P107" s="42"/>
      <c r="Q107" s="42"/>
      <c r="R107" s="42"/>
      <c r="S107" s="42"/>
      <c r="T107" s="42"/>
      <c r="U107" s="42"/>
      <c r="V107" s="42"/>
      <c r="W107" s="163"/>
      <c r="X107" s="163"/>
    </row>
    <row r="108" spans="1:24" x14ac:dyDescent="0.25">
      <c r="A108" s="53"/>
      <c r="B108" s="53"/>
      <c r="C108" s="53"/>
      <c r="D108" s="53"/>
      <c r="E108" s="53"/>
      <c r="F108" s="53"/>
      <c r="G108" s="53"/>
      <c r="H108" s="53"/>
      <c r="I108" s="53"/>
      <c r="J108" s="53"/>
      <c r="K108" s="42"/>
      <c r="L108" s="42"/>
      <c r="M108" s="42"/>
      <c r="N108" s="42"/>
      <c r="O108" s="42"/>
      <c r="P108" s="42"/>
      <c r="Q108" s="42"/>
      <c r="R108" s="42"/>
      <c r="S108" s="42"/>
      <c r="T108" s="42"/>
      <c r="U108" s="42"/>
      <c r="V108" s="42"/>
    </row>
    <row r="109" spans="1:24" s="40" customFormat="1" ht="15" customHeight="1" outlineLevel="1" x14ac:dyDescent="0.25">
      <c r="A109" s="72" t="s">
        <v>127</v>
      </c>
      <c r="B109" s="255" t="s">
        <v>130</v>
      </c>
      <c r="C109" s="255"/>
      <c r="D109" s="255"/>
      <c r="E109" s="255"/>
      <c r="F109" s="255"/>
      <c r="G109" s="255"/>
      <c r="H109" s="255"/>
      <c r="I109" s="255"/>
      <c r="J109" s="255"/>
      <c r="K109" s="44"/>
      <c r="L109" s="44"/>
      <c r="M109" s="44"/>
      <c r="N109" s="44"/>
      <c r="O109" s="44"/>
      <c r="P109" s="44"/>
      <c r="Q109" s="44"/>
      <c r="R109" s="44"/>
      <c r="S109" s="44"/>
      <c r="T109" s="44"/>
      <c r="U109" s="44"/>
      <c r="V109" s="44"/>
    </row>
    <row r="110" spans="1:24" ht="30.75" customHeight="1" outlineLevel="1" x14ac:dyDescent="0.25">
      <c r="A110" s="53"/>
      <c r="B110" s="285" t="s">
        <v>122</v>
      </c>
      <c r="C110" s="285"/>
      <c r="D110" s="285"/>
      <c r="E110" s="285"/>
      <c r="F110" s="285"/>
      <c r="G110" s="285"/>
      <c r="H110" s="285"/>
      <c r="I110" s="285"/>
      <c r="J110" s="285"/>
      <c r="K110" s="42"/>
      <c r="L110" s="42"/>
      <c r="M110" s="42"/>
      <c r="N110" s="42"/>
      <c r="O110" s="42"/>
      <c r="P110" s="42"/>
      <c r="Q110" s="42"/>
      <c r="R110" s="42"/>
      <c r="S110" s="42"/>
      <c r="T110" s="42"/>
      <c r="U110" s="42"/>
      <c r="V110" s="42"/>
    </row>
    <row r="111" spans="1:24" outlineLevel="1" x14ac:dyDescent="0.25">
      <c r="A111" s="53"/>
      <c r="B111" s="91" t="s">
        <v>12</v>
      </c>
      <c r="C111" s="90"/>
      <c r="D111" s="90"/>
      <c r="E111" s="90"/>
      <c r="F111" s="90"/>
      <c r="G111" s="90"/>
      <c r="H111" s="90"/>
      <c r="I111" s="90"/>
      <c r="J111" s="90"/>
      <c r="K111" s="42"/>
      <c r="L111" s="42"/>
      <c r="M111" s="42"/>
      <c r="N111" s="42"/>
      <c r="O111" s="42"/>
      <c r="P111" s="42"/>
      <c r="Q111" s="42"/>
      <c r="R111" s="42"/>
      <c r="S111" s="42"/>
      <c r="T111" s="42"/>
      <c r="U111" s="42"/>
      <c r="V111" s="42"/>
    </row>
    <row r="112" spans="1:24" ht="15.75" outlineLevel="1" thickBot="1" x14ac:dyDescent="0.3">
      <c r="A112" s="53"/>
      <c r="B112" s="278" t="s">
        <v>110</v>
      </c>
      <c r="C112" s="278"/>
      <c r="D112" s="179" t="s">
        <v>3</v>
      </c>
      <c r="E112" s="61" t="s">
        <v>6</v>
      </c>
      <c r="F112" s="61" t="s">
        <v>7</v>
      </c>
      <c r="G112" s="61" t="s">
        <v>8</v>
      </c>
      <c r="H112" s="61" t="s">
        <v>9</v>
      </c>
      <c r="I112" s="61" t="s">
        <v>10</v>
      </c>
      <c r="J112" s="188" t="s">
        <v>275</v>
      </c>
      <c r="K112" s="42"/>
      <c r="L112" s="42"/>
      <c r="M112" s="42"/>
      <c r="N112" s="42"/>
      <c r="O112" s="42"/>
      <c r="P112" s="42"/>
      <c r="Q112" s="42"/>
      <c r="R112" s="42"/>
      <c r="S112" s="42"/>
      <c r="T112" s="42"/>
      <c r="U112" s="42"/>
      <c r="V112" s="42"/>
    </row>
    <row r="113" spans="1:22" s="39" customFormat="1" ht="15.75" outlineLevel="1" thickBot="1" x14ac:dyDescent="0.3">
      <c r="A113" s="53"/>
      <c r="B113" s="284" t="s">
        <v>25</v>
      </c>
      <c r="C113" s="284"/>
      <c r="D113" s="62"/>
      <c r="E113" s="63">
        <v>2.5000000000000001E-2</v>
      </c>
      <c r="F113" s="63">
        <v>2.5000000000000001E-2</v>
      </c>
      <c r="G113" s="64">
        <f>$F113</f>
        <v>2.5000000000000001E-2</v>
      </c>
      <c r="H113" s="64">
        <f>$F113</f>
        <v>2.5000000000000001E-2</v>
      </c>
      <c r="I113" s="64">
        <f>$F113</f>
        <v>2.5000000000000001E-2</v>
      </c>
      <c r="J113" s="64"/>
      <c r="K113" s="42"/>
      <c r="L113" s="42"/>
      <c r="M113" s="42"/>
      <c r="N113" s="42"/>
      <c r="O113" s="42"/>
      <c r="P113" s="42"/>
      <c r="Q113" s="42"/>
      <c r="R113" s="42"/>
      <c r="S113" s="42"/>
      <c r="T113" s="42"/>
      <c r="U113" s="42"/>
      <c r="V113" s="42"/>
    </row>
    <row r="114" spans="1:22" s="39" customFormat="1" outlineLevel="1" x14ac:dyDescent="0.25">
      <c r="A114" s="53"/>
      <c r="B114" s="283" t="s">
        <v>27</v>
      </c>
      <c r="C114" s="283"/>
      <c r="D114" s="232"/>
      <c r="E114" s="232"/>
      <c r="F114" s="233">
        <f>E114*(1+$G$113)</f>
        <v>0</v>
      </c>
      <c r="G114" s="233">
        <f>F114*(1+$G$113)</f>
        <v>0</v>
      </c>
      <c r="H114" s="233">
        <f>G114*(1+$H$113)</f>
        <v>0</v>
      </c>
      <c r="I114" s="233">
        <f>H114*(1+$I$113)</f>
        <v>0</v>
      </c>
      <c r="J114" s="234">
        <f t="shared" ref="J114:J127" si="9">SUM(D114:I114)</f>
        <v>0</v>
      </c>
      <c r="K114" s="42"/>
      <c r="L114" s="42"/>
      <c r="M114" s="42"/>
      <c r="N114" s="42"/>
      <c r="O114" s="42"/>
      <c r="P114" s="42"/>
      <c r="Q114" s="42"/>
      <c r="R114" s="42"/>
      <c r="S114" s="42"/>
      <c r="T114" s="42"/>
      <c r="U114" s="42"/>
      <c r="V114" s="42"/>
    </row>
    <row r="115" spans="1:22" s="39" customFormat="1" ht="15.95" customHeight="1" outlineLevel="1" x14ac:dyDescent="0.25">
      <c r="A115" s="53"/>
      <c r="B115" s="282" t="s">
        <v>28</v>
      </c>
      <c r="C115" s="282"/>
      <c r="D115" s="232"/>
      <c r="E115" s="232"/>
      <c r="F115" s="235">
        <f>E115*(1+$G$113)</f>
        <v>0</v>
      </c>
      <c r="G115" s="235">
        <f>F115*(1+$G$113)</f>
        <v>0</v>
      </c>
      <c r="H115" s="235">
        <f>G115*(1+$H$113)</f>
        <v>0</v>
      </c>
      <c r="I115" s="235">
        <f>H115*(1+$I$113)</f>
        <v>0</v>
      </c>
      <c r="J115" s="234">
        <f t="shared" si="9"/>
        <v>0</v>
      </c>
      <c r="K115" s="42"/>
      <c r="L115" s="42"/>
      <c r="M115" s="42"/>
      <c r="N115" s="42"/>
      <c r="O115" s="42"/>
      <c r="P115" s="42"/>
      <c r="Q115" s="42"/>
      <c r="R115" s="42"/>
      <c r="S115" s="42"/>
      <c r="T115" s="42"/>
      <c r="U115" s="42"/>
      <c r="V115" s="42"/>
    </row>
    <row r="116" spans="1:22" s="39" customFormat="1" outlineLevel="1" x14ac:dyDescent="0.25">
      <c r="A116" s="53"/>
      <c r="B116" s="283" t="s">
        <v>104</v>
      </c>
      <c r="C116" s="283"/>
      <c r="D116" s="236"/>
      <c r="E116" s="236"/>
      <c r="F116" s="237"/>
      <c r="G116" s="237"/>
      <c r="H116" s="237"/>
      <c r="I116" s="237"/>
      <c r="J116" s="237"/>
      <c r="K116" s="42"/>
      <c r="L116" s="42"/>
      <c r="M116" s="42"/>
      <c r="N116" s="42"/>
      <c r="O116" s="42"/>
      <c r="P116" s="42"/>
      <c r="Q116" s="42"/>
      <c r="R116" s="42"/>
      <c r="S116" s="42"/>
      <c r="T116" s="42"/>
      <c r="U116" s="42"/>
      <c r="V116" s="42"/>
    </row>
    <row r="117" spans="1:22" s="39" customFormat="1" outlineLevel="1" x14ac:dyDescent="0.25">
      <c r="A117" s="53"/>
      <c r="B117" s="283" t="s">
        <v>100</v>
      </c>
      <c r="C117" s="283"/>
      <c r="D117" s="242">
        <f>(7.62+5.5)*227</f>
        <v>2978.2400000000002</v>
      </c>
      <c r="E117" s="242">
        <f>(7.62+5.5)*251</f>
        <v>3293.1200000000003</v>
      </c>
      <c r="F117" s="243">
        <f>E117</f>
        <v>3293.1200000000003</v>
      </c>
      <c r="G117" s="243">
        <f>F117</f>
        <v>3293.1200000000003</v>
      </c>
      <c r="H117" s="243">
        <f t="shared" ref="H117:I117" si="10">G117</f>
        <v>3293.1200000000003</v>
      </c>
      <c r="I117" s="243">
        <f t="shared" si="10"/>
        <v>3293.1200000000003</v>
      </c>
      <c r="J117" s="244"/>
      <c r="K117" s="42"/>
      <c r="L117" s="42"/>
      <c r="M117" s="42"/>
      <c r="N117" s="42"/>
      <c r="O117" s="42"/>
      <c r="P117" s="42"/>
      <c r="Q117" s="42"/>
      <c r="R117" s="42"/>
      <c r="S117" s="42"/>
      <c r="T117" s="42"/>
      <c r="U117" s="42"/>
      <c r="V117" s="42"/>
    </row>
    <row r="118" spans="1:22" s="39" customFormat="1" outlineLevel="1" x14ac:dyDescent="0.25">
      <c r="A118" s="53"/>
      <c r="B118" s="283" t="s">
        <v>99</v>
      </c>
      <c r="C118" s="283"/>
      <c r="D118" s="232">
        <v>122</v>
      </c>
      <c r="E118" s="232">
        <v>125</v>
      </c>
      <c r="F118" s="235">
        <f t="shared" ref="F118:I118" si="11">ROUND(E118*(1+F113),0)</f>
        <v>128</v>
      </c>
      <c r="G118" s="235">
        <f t="shared" si="11"/>
        <v>131</v>
      </c>
      <c r="H118" s="235">
        <f t="shared" si="11"/>
        <v>134</v>
      </c>
      <c r="I118" s="235">
        <f t="shared" si="11"/>
        <v>137</v>
      </c>
      <c r="J118" s="234"/>
      <c r="K118" s="42"/>
      <c r="L118" s="42"/>
      <c r="M118" s="42"/>
      <c r="N118" s="42"/>
      <c r="O118" s="42"/>
      <c r="P118" s="42"/>
      <c r="Q118" s="42"/>
      <c r="R118" s="42"/>
      <c r="S118" s="42"/>
      <c r="T118" s="42"/>
      <c r="U118" s="42"/>
      <c r="V118" s="42"/>
    </row>
    <row r="119" spans="1:22" s="39" customFormat="1" outlineLevel="1" x14ac:dyDescent="0.25">
      <c r="A119" s="53"/>
      <c r="B119" s="283" t="s">
        <v>98</v>
      </c>
      <c r="C119" s="283"/>
      <c r="D119" s="235">
        <f>D117*D118</f>
        <v>363345.28</v>
      </c>
      <c r="E119" s="235">
        <f>E117*E118</f>
        <v>411640.00000000006</v>
      </c>
      <c r="F119" s="235">
        <f t="shared" ref="F119" si="12">F117*F118</f>
        <v>421519.36000000004</v>
      </c>
      <c r="G119" s="235">
        <f t="shared" ref="G119:I119" si="13">G117*G118</f>
        <v>431398.72000000003</v>
      </c>
      <c r="H119" s="235">
        <f t="shared" si="13"/>
        <v>441278.08000000007</v>
      </c>
      <c r="I119" s="235">
        <f t="shared" si="13"/>
        <v>451157.44000000006</v>
      </c>
      <c r="J119" s="234">
        <f t="shared" si="9"/>
        <v>2520338.8800000004</v>
      </c>
      <c r="K119" s="42"/>
      <c r="L119" s="42"/>
      <c r="M119" s="42"/>
      <c r="N119" s="42"/>
      <c r="O119" s="42"/>
      <c r="P119" s="42"/>
      <c r="Q119" s="42"/>
      <c r="R119" s="42"/>
      <c r="S119" s="42"/>
      <c r="T119" s="42"/>
      <c r="U119" s="42"/>
      <c r="V119" s="42"/>
    </row>
    <row r="120" spans="1:22" s="39" customFormat="1" outlineLevel="1" x14ac:dyDescent="0.25">
      <c r="A120" s="53"/>
      <c r="B120" s="283" t="s">
        <v>88</v>
      </c>
      <c r="C120" s="283"/>
      <c r="D120" s="232"/>
      <c r="E120" s="232"/>
      <c r="F120" s="235">
        <f t="shared" ref="F120:G123" si="14">E120*(1+$G$113)</f>
        <v>0</v>
      </c>
      <c r="G120" s="235">
        <f t="shared" si="14"/>
        <v>0</v>
      </c>
      <c r="H120" s="235">
        <f t="shared" ref="H120:H123" si="15">G120*(1+$H$113)</f>
        <v>0</v>
      </c>
      <c r="I120" s="235">
        <f t="shared" ref="I120:I123" si="16">H120*(1+$I$113)</f>
        <v>0</v>
      </c>
      <c r="J120" s="234"/>
      <c r="K120" s="42"/>
      <c r="L120" s="42"/>
      <c r="M120" s="42"/>
      <c r="N120" s="42"/>
      <c r="O120" s="42"/>
      <c r="P120" s="42"/>
      <c r="Q120" s="42"/>
      <c r="R120" s="42"/>
      <c r="S120" s="42"/>
      <c r="T120" s="42"/>
      <c r="U120" s="42"/>
      <c r="V120" s="42"/>
    </row>
    <row r="121" spans="1:22" s="39" customFormat="1" outlineLevel="1" x14ac:dyDescent="0.25">
      <c r="A121" s="53"/>
      <c r="B121" s="283" t="s">
        <v>89</v>
      </c>
      <c r="C121" s="283"/>
      <c r="D121" s="232"/>
      <c r="E121" s="232"/>
      <c r="F121" s="235">
        <f t="shared" si="14"/>
        <v>0</v>
      </c>
      <c r="G121" s="235">
        <f t="shared" si="14"/>
        <v>0</v>
      </c>
      <c r="H121" s="235">
        <f t="shared" si="15"/>
        <v>0</v>
      </c>
      <c r="I121" s="235">
        <f t="shared" si="16"/>
        <v>0</v>
      </c>
      <c r="J121" s="234"/>
      <c r="K121" s="42"/>
      <c r="L121" s="42"/>
      <c r="M121" s="42"/>
      <c r="N121" s="42"/>
      <c r="O121" s="42"/>
      <c r="P121" s="42"/>
      <c r="Q121" s="42"/>
      <c r="R121" s="42"/>
      <c r="S121" s="42"/>
      <c r="T121" s="42"/>
      <c r="U121" s="42"/>
      <c r="V121" s="42"/>
    </row>
    <row r="122" spans="1:22" s="39" customFormat="1" outlineLevel="1" x14ac:dyDescent="0.25">
      <c r="A122" s="53"/>
      <c r="B122" s="258" t="s">
        <v>281</v>
      </c>
      <c r="C122" s="259"/>
      <c r="D122" s="232"/>
      <c r="E122" s="232"/>
      <c r="F122" s="235">
        <f t="shared" si="14"/>
        <v>0</v>
      </c>
      <c r="G122" s="235">
        <f t="shared" si="14"/>
        <v>0</v>
      </c>
      <c r="H122" s="235">
        <f t="shared" si="15"/>
        <v>0</v>
      </c>
      <c r="I122" s="235">
        <f t="shared" si="16"/>
        <v>0</v>
      </c>
      <c r="J122" s="234"/>
      <c r="K122" s="42"/>
      <c r="L122" s="42"/>
      <c r="M122" s="42"/>
      <c r="N122" s="42"/>
      <c r="O122" s="42"/>
      <c r="P122" s="42"/>
      <c r="Q122" s="42"/>
      <c r="R122" s="42"/>
      <c r="S122" s="42"/>
      <c r="T122" s="42"/>
      <c r="U122" s="42"/>
      <c r="V122" s="42"/>
    </row>
    <row r="123" spans="1:22" s="39" customFormat="1" outlineLevel="1" x14ac:dyDescent="0.25">
      <c r="A123" s="53"/>
      <c r="B123" s="258" t="s">
        <v>281</v>
      </c>
      <c r="C123" s="259"/>
      <c r="D123" s="232"/>
      <c r="E123" s="232"/>
      <c r="F123" s="235">
        <f t="shared" si="14"/>
        <v>0</v>
      </c>
      <c r="G123" s="235">
        <f t="shared" si="14"/>
        <v>0</v>
      </c>
      <c r="H123" s="235">
        <f t="shared" si="15"/>
        <v>0</v>
      </c>
      <c r="I123" s="235">
        <f t="shared" si="16"/>
        <v>0</v>
      </c>
      <c r="J123" s="234"/>
      <c r="K123" s="42"/>
      <c r="L123" s="42"/>
      <c r="M123" s="42"/>
      <c r="N123" s="42"/>
      <c r="O123" s="42"/>
      <c r="P123" s="42"/>
      <c r="Q123" s="42"/>
      <c r="R123" s="42"/>
      <c r="S123" s="42"/>
      <c r="T123" s="42"/>
      <c r="U123" s="42"/>
      <c r="V123" s="42"/>
    </row>
    <row r="124" spans="1:22" s="39" customFormat="1" outlineLevel="1" x14ac:dyDescent="0.25">
      <c r="A124" s="53"/>
      <c r="B124" s="283" t="s">
        <v>105</v>
      </c>
      <c r="C124" s="283"/>
      <c r="D124" s="235">
        <f>SUM(D119:D123)</f>
        <v>363345.28</v>
      </c>
      <c r="E124" s="235">
        <f>SUM(E119:E123)</f>
        <v>411640.00000000006</v>
      </c>
      <c r="F124" s="235">
        <f t="shared" ref="F124" si="17">SUM(F119:F123)</f>
        <v>421519.36000000004</v>
      </c>
      <c r="G124" s="235">
        <f t="shared" ref="G124:H124" si="18">SUM(G119:G123)</f>
        <v>431398.72000000003</v>
      </c>
      <c r="H124" s="235">
        <f t="shared" si="18"/>
        <v>441278.08000000007</v>
      </c>
      <c r="I124" s="235">
        <f>SUM(I119:I123)</f>
        <v>451157.44000000006</v>
      </c>
      <c r="J124" s="234">
        <f t="shared" si="9"/>
        <v>2520338.8800000004</v>
      </c>
      <c r="K124" s="42"/>
      <c r="L124" s="42"/>
      <c r="M124" s="42"/>
      <c r="N124" s="42"/>
      <c r="O124" s="42"/>
      <c r="P124" s="42"/>
      <c r="Q124" s="42"/>
      <c r="R124" s="42"/>
      <c r="S124" s="42"/>
      <c r="T124" s="42"/>
      <c r="U124" s="42"/>
      <c r="V124" s="42"/>
    </row>
    <row r="125" spans="1:22" s="39" customFormat="1" ht="15" customHeight="1" outlineLevel="1" x14ac:dyDescent="0.25">
      <c r="A125" s="53"/>
      <c r="B125" s="258" t="s">
        <v>106</v>
      </c>
      <c r="C125" s="259"/>
      <c r="D125" s="232"/>
      <c r="E125" s="232"/>
      <c r="F125" s="235">
        <f t="shared" ref="F125:G127" si="19">E125*(1+$G$113)</f>
        <v>0</v>
      </c>
      <c r="G125" s="235">
        <f t="shared" si="19"/>
        <v>0</v>
      </c>
      <c r="H125" s="235">
        <f t="shared" ref="H125:H127" si="20">G125*(1+$H$113)</f>
        <v>0</v>
      </c>
      <c r="I125" s="235">
        <f t="shared" ref="I125:I127" si="21">H125*(1+$I$113)</f>
        <v>0</v>
      </c>
      <c r="J125" s="234">
        <f t="shared" si="9"/>
        <v>0</v>
      </c>
      <c r="K125" s="42"/>
      <c r="L125" s="42"/>
      <c r="M125" s="42"/>
      <c r="N125" s="42"/>
      <c r="O125" s="42"/>
      <c r="P125" s="42"/>
      <c r="Q125" s="42"/>
      <c r="R125" s="42"/>
      <c r="S125" s="42"/>
      <c r="T125" s="42"/>
      <c r="U125" s="42"/>
      <c r="V125" s="42"/>
    </row>
    <row r="126" spans="1:22" s="39" customFormat="1" ht="15" customHeight="1" outlineLevel="1" x14ac:dyDescent="0.25">
      <c r="A126" s="53"/>
      <c r="B126" s="258" t="s">
        <v>106</v>
      </c>
      <c r="C126" s="259"/>
      <c r="D126" s="232"/>
      <c r="E126" s="232"/>
      <c r="F126" s="235">
        <f t="shared" si="19"/>
        <v>0</v>
      </c>
      <c r="G126" s="235">
        <f t="shared" si="19"/>
        <v>0</v>
      </c>
      <c r="H126" s="235">
        <f t="shared" si="20"/>
        <v>0</v>
      </c>
      <c r="I126" s="235">
        <f t="shared" si="21"/>
        <v>0</v>
      </c>
      <c r="J126" s="234">
        <f t="shared" si="9"/>
        <v>0</v>
      </c>
      <c r="K126" s="42"/>
      <c r="L126" s="42"/>
      <c r="M126" s="42"/>
      <c r="N126" s="42"/>
      <c r="O126" s="42"/>
      <c r="P126" s="42"/>
      <c r="Q126" s="42"/>
      <c r="R126" s="42"/>
      <c r="S126" s="42"/>
      <c r="T126" s="42"/>
      <c r="U126" s="42"/>
      <c r="V126" s="42"/>
    </row>
    <row r="127" spans="1:22" s="39" customFormat="1" ht="15" customHeight="1" outlineLevel="1" x14ac:dyDescent="0.25">
      <c r="A127" s="53"/>
      <c r="B127" s="258" t="s">
        <v>106</v>
      </c>
      <c r="C127" s="259"/>
      <c r="D127" s="232"/>
      <c r="E127" s="232"/>
      <c r="F127" s="235">
        <f t="shared" si="19"/>
        <v>0</v>
      </c>
      <c r="G127" s="235">
        <f t="shared" si="19"/>
        <v>0</v>
      </c>
      <c r="H127" s="235">
        <f t="shared" si="20"/>
        <v>0</v>
      </c>
      <c r="I127" s="235">
        <f t="shared" si="21"/>
        <v>0</v>
      </c>
      <c r="J127" s="234">
        <f t="shared" si="9"/>
        <v>0</v>
      </c>
      <c r="K127" s="42"/>
      <c r="L127" s="42"/>
      <c r="M127" s="42"/>
      <c r="N127" s="42"/>
      <c r="O127" s="42"/>
      <c r="P127" s="42"/>
      <c r="Q127" s="42"/>
      <c r="R127" s="42"/>
      <c r="S127" s="42"/>
      <c r="T127" s="42"/>
      <c r="U127" s="42"/>
      <c r="V127" s="42"/>
    </row>
    <row r="128" spans="1:22" s="41" customFormat="1" ht="15.75" outlineLevel="1" thickBot="1" x14ac:dyDescent="0.3">
      <c r="A128" s="72"/>
      <c r="B128" s="256" t="s">
        <v>109</v>
      </c>
      <c r="C128" s="256"/>
      <c r="D128" s="238">
        <f t="shared" ref="D128:J128" si="22">D114+D115+D124+D125+D127+D126</f>
        <v>363345.28</v>
      </c>
      <c r="E128" s="238">
        <f t="shared" si="22"/>
        <v>411640.00000000006</v>
      </c>
      <c r="F128" s="238">
        <f t="shared" si="22"/>
        <v>421519.36000000004</v>
      </c>
      <c r="G128" s="238">
        <f t="shared" si="22"/>
        <v>431398.72000000003</v>
      </c>
      <c r="H128" s="238">
        <f t="shared" si="22"/>
        <v>441278.08000000007</v>
      </c>
      <c r="I128" s="238">
        <f t="shared" si="22"/>
        <v>451157.44000000006</v>
      </c>
      <c r="J128" s="238">
        <f t="shared" si="22"/>
        <v>2520338.8800000004</v>
      </c>
      <c r="K128" s="44"/>
      <c r="L128" s="44"/>
      <c r="M128" s="44"/>
      <c r="N128" s="44"/>
      <c r="O128" s="44"/>
      <c r="P128" s="44"/>
      <c r="Q128" s="44"/>
      <c r="R128" s="44"/>
      <c r="S128" s="44"/>
      <c r="T128" s="44"/>
      <c r="U128" s="44"/>
      <c r="V128" s="44"/>
    </row>
    <row r="129" spans="1:26" s="39" customFormat="1" ht="15.75" outlineLevel="1" thickTop="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39" customFormat="1" x14ac:dyDescent="0.25">
      <c r="A130" s="53"/>
      <c r="B130" s="95"/>
      <c r="C130" s="53"/>
      <c r="D130" s="53"/>
      <c r="E130" s="53"/>
      <c r="F130" s="53"/>
      <c r="G130" s="53"/>
      <c r="H130" s="53"/>
      <c r="I130" s="53"/>
      <c r="J130" s="68"/>
      <c r="K130" s="42"/>
      <c r="L130" s="42"/>
      <c r="M130" s="42"/>
      <c r="N130" s="42"/>
      <c r="O130" s="42"/>
      <c r="P130" s="42"/>
      <c r="Q130" s="42"/>
      <c r="R130" s="42"/>
      <c r="S130" s="42"/>
      <c r="T130" s="42"/>
      <c r="U130" s="42"/>
      <c r="V130" s="42"/>
    </row>
    <row r="131" spans="1:26" s="41" customFormat="1" ht="15" hidden="1" customHeight="1" outlineLevel="1" x14ac:dyDescent="0.25">
      <c r="A131" s="72" t="s">
        <v>129</v>
      </c>
      <c r="B131" s="255" t="s">
        <v>146</v>
      </c>
      <c r="C131" s="255"/>
      <c r="D131" s="255"/>
      <c r="E131" s="255"/>
      <c r="F131" s="255"/>
      <c r="G131" s="255"/>
      <c r="H131" s="255"/>
      <c r="I131" s="255"/>
      <c r="J131" s="255"/>
      <c r="K131" s="44"/>
      <c r="L131" s="44"/>
      <c r="M131" s="44"/>
      <c r="N131" s="44"/>
      <c r="O131" s="44"/>
      <c r="P131" s="44"/>
      <c r="Q131" s="44"/>
      <c r="R131" s="44"/>
      <c r="S131" s="44"/>
      <c r="T131" s="44"/>
      <c r="U131" s="44"/>
      <c r="V131" s="44"/>
    </row>
    <row r="132" spans="1:26" hidden="1" outlineLevel="1" x14ac:dyDescent="0.25">
      <c r="A132" s="53"/>
      <c r="B132" s="91" t="s">
        <v>12</v>
      </c>
      <c r="C132" s="90"/>
      <c r="D132" s="90"/>
      <c r="E132" s="90"/>
      <c r="F132" s="90"/>
      <c r="G132" s="90"/>
      <c r="H132" s="90"/>
      <c r="I132" s="90"/>
      <c r="J132" s="90"/>
      <c r="K132" s="42"/>
      <c r="L132" s="42"/>
      <c r="M132" s="42"/>
      <c r="N132" s="42"/>
      <c r="O132" s="42"/>
      <c r="P132" s="42"/>
      <c r="Q132" s="42"/>
      <c r="R132" s="42"/>
      <c r="S132" s="42"/>
      <c r="T132" s="42"/>
      <c r="U132" s="42"/>
      <c r="V132" s="42"/>
    </row>
    <row r="133" spans="1:26" hidden="1" outlineLevel="1" x14ac:dyDescent="0.25">
      <c r="A133" s="53"/>
      <c r="B133" s="278" t="s">
        <v>111</v>
      </c>
      <c r="C133" s="278"/>
      <c r="D133" s="179" t="s">
        <v>3</v>
      </c>
      <c r="E133" s="61" t="s">
        <v>6</v>
      </c>
      <c r="F133" s="61" t="s">
        <v>7</v>
      </c>
      <c r="G133" s="61" t="s">
        <v>8</v>
      </c>
      <c r="H133" s="61" t="s">
        <v>9</v>
      </c>
      <c r="I133" s="61" t="s">
        <v>10</v>
      </c>
      <c r="J133" s="61" t="s">
        <v>275</v>
      </c>
      <c r="K133" s="42"/>
      <c r="L133" s="42"/>
      <c r="M133" s="42"/>
      <c r="N133" s="42"/>
      <c r="O133" s="42"/>
      <c r="P133" s="42"/>
      <c r="Q133" s="42"/>
      <c r="R133" s="42"/>
      <c r="S133" s="42"/>
      <c r="T133" s="42"/>
      <c r="U133" s="42"/>
      <c r="V133" s="42"/>
    </row>
    <row r="134" spans="1:26" hidden="1" outlineLevel="1" x14ac:dyDescent="0.25">
      <c r="A134" s="53"/>
      <c r="B134" s="297" t="s">
        <v>212</v>
      </c>
      <c r="C134" s="297"/>
      <c r="D134" s="232"/>
      <c r="E134" s="232"/>
      <c r="F134" s="232"/>
      <c r="G134" s="232"/>
      <c r="H134" s="232"/>
      <c r="I134" s="232"/>
      <c r="J134" s="234">
        <f t="shared" ref="J134:J139" si="23">SUM(D134:I134)</f>
        <v>0</v>
      </c>
      <c r="K134" s="42"/>
      <c r="L134" s="42"/>
      <c r="M134" s="42"/>
      <c r="N134" s="42"/>
      <c r="O134" s="42"/>
      <c r="P134" s="42"/>
      <c r="Q134" s="42"/>
      <c r="R134" s="42"/>
      <c r="S134" s="42"/>
      <c r="T134" s="42"/>
      <c r="U134" s="42"/>
      <c r="V134" s="42"/>
    </row>
    <row r="135" spans="1:26" hidden="1" outlineLevel="1" x14ac:dyDescent="0.25">
      <c r="A135" s="53"/>
      <c r="B135" s="297" t="s">
        <v>213</v>
      </c>
      <c r="C135" s="297"/>
      <c r="D135" s="232"/>
      <c r="E135" s="232"/>
      <c r="F135" s="232"/>
      <c r="G135" s="232"/>
      <c r="H135" s="232"/>
      <c r="I135" s="232"/>
      <c r="J135" s="234">
        <f t="shared" si="23"/>
        <v>0</v>
      </c>
      <c r="K135" s="42"/>
      <c r="L135" s="42"/>
      <c r="M135" s="42"/>
      <c r="N135" s="42"/>
      <c r="O135" s="42"/>
      <c r="P135" s="42"/>
      <c r="Q135" s="42"/>
      <c r="R135" s="42"/>
      <c r="S135" s="42"/>
      <c r="T135" s="42"/>
      <c r="U135" s="42"/>
      <c r="V135" s="42"/>
    </row>
    <row r="136" spans="1:26" hidden="1" outlineLevel="1" x14ac:dyDescent="0.25">
      <c r="A136" s="53"/>
      <c r="B136" s="297" t="s">
        <v>211</v>
      </c>
      <c r="C136" s="297"/>
      <c r="D136" s="239"/>
      <c r="E136" s="232"/>
      <c r="F136" s="239"/>
      <c r="G136" s="239"/>
      <c r="H136" s="239"/>
      <c r="I136" s="239"/>
      <c r="J136" s="234">
        <f t="shared" si="23"/>
        <v>0</v>
      </c>
      <c r="K136" s="42"/>
      <c r="L136" s="42"/>
      <c r="M136" s="42"/>
      <c r="N136" s="42"/>
      <c r="O136" s="42"/>
      <c r="P136" s="42"/>
      <c r="Q136" s="42"/>
      <c r="R136" s="42"/>
      <c r="S136" s="42"/>
      <c r="T136" s="42"/>
      <c r="U136" s="42"/>
      <c r="V136" s="42"/>
      <c r="Z136" s="191"/>
    </row>
    <row r="137" spans="1:26" hidden="1" outlineLevel="1" x14ac:dyDescent="0.25">
      <c r="A137" s="53"/>
      <c r="B137" s="297" t="s">
        <v>107</v>
      </c>
      <c r="C137" s="297"/>
      <c r="D137" s="239"/>
      <c r="E137" s="232"/>
      <c r="F137" s="239"/>
      <c r="G137" s="239"/>
      <c r="H137" s="239"/>
      <c r="I137" s="239"/>
      <c r="J137" s="234">
        <f t="shared" si="23"/>
        <v>0</v>
      </c>
      <c r="K137" s="42"/>
      <c r="L137" s="42"/>
      <c r="M137" s="42"/>
      <c r="N137" s="42"/>
      <c r="O137" s="42"/>
      <c r="P137" s="42"/>
      <c r="Q137" s="42"/>
      <c r="R137" s="42"/>
      <c r="S137" s="42"/>
      <c r="T137" s="42"/>
      <c r="U137" s="42"/>
      <c r="V137" s="42"/>
      <c r="Z137" s="191"/>
    </row>
    <row r="138" spans="1:26" hidden="1" outlineLevel="1" x14ac:dyDescent="0.25">
      <c r="A138" s="53"/>
      <c r="B138" s="297" t="s">
        <v>108</v>
      </c>
      <c r="C138" s="297"/>
      <c r="D138" s="232"/>
      <c r="E138" s="232"/>
      <c r="F138" s="232"/>
      <c r="G138" s="232"/>
      <c r="H138" s="232"/>
      <c r="I138" s="232"/>
      <c r="J138" s="234">
        <f t="shared" si="23"/>
        <v>0</v>
      </c>
      <c r="K138" s="42"/>
      <c r="L138" s="42"/>
      <c r="M138" s="42"/>
      <c r="N138" s="42"/>
      <c r="O138" s="42"/>
      <c r="P138" s="42"/>
      <c r="Q138" s="42"/>
      <c r="R138" s="42"/>
      <c r="S138" s="42"/>
      <c r="T138" s="42"/>
      <c r="U138" s="42"/>
      <c r="V138" s="42"/>
    </row>
    <row r="139" spans="1:26" hidden="1" outlineLevel="1" x14ac:dyDescent="0.25">
      <c r="A139" s="53"/>
      <c r="B139" s="258" t="s">
        <v>106</v>
      </c>
      <c r="C139" s="259"/>
      <c r="D139" s="232"/>
      <c r="E139" s="232"/>
      <c r="F139" s="232"/>
      <c r="G139" s="232"/>
      <c r="H139" s="232"/>
      <c r="I139" s="232"/>
      <c r="J139" s="234">
        <f t="shared" si="23"/>
        <v>0</v>
      </c>
      <c r="K139" s="42"/>
      <c r="L139" s="42"/>
      <c r="M139" s="42"/>
      <c r="N139" s="42"/>
      <c r="O139" s="42"/>
      <c r="P139" s="42"/>
      <c r="Q139" s="42"/>
      <c r="R139" s="42"/>
      <c r="S139" s="42"/>
      <c r="T139" s="42"/>
      <c r="U139" s="42"/>
      <c r="V139" s="42"/>
    </row>
    <row r="140" spans="1:26" s="40" customFormat="1" ht="15.75" hidden="1" outlineLevel="1" thickBot="1" x14ac:dyDescent="0.3">
      <c r="A140" s="72"/>
      <c r="B140" s="295" t="s">
        <v>114</v>
      </c>
      <c r="C140" s="295"/>
      <c r="D140" s="238">
        <f>SUM(D134:D139)</f>
        <v>0</v>
      </c>
      <c r="E140" s="238">
        <f t="shared" ref="E140:J140" si="24">SUM(E134:E139)</f>
        <v>0</v>
      </c>
      <c r="F140" s="238">
        <f t="shared" si="24"/>
        <v>0</v>
      </c>
      <c r="G140" s="238">
        <f t="shared" si="24"/>
        <v>0</v>
      </c>
      <c r="H140" s="238">
        <f t="shared" si="24"/>
        <v>0</v>
      </c>
      <c r="I140" s="238">
        <f t="shared" si="24"/>
        <v>0</v>
      </c>
      <c r="J140" s="238">
        <f t="shared" si="24"/>
        <v>0</v>
      </c>
      <c r="K140" s="44"/>
      <c r="L140" s="44"/>
      <c r="M140" s="44"/>
      <c r="N140" s="44"/>
      <c r="O140" s="44"/>
      <c r="P140" s="44"/>
      <c r="Q140" s="44"/>
      <c r="R140" s="44"/>
      <c r="S140" s="44"/>
      <c r="T140" s="44"/>
      <c r="U140" s="44"/>
      <c r="V140" s="44"/>
    </row>
    <row r="141" spans="1:26" ht="15.75" hidden="1" outlineLevel="1" thickTop="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collapsed="1" x14ac:dyDescent="0.25">
      <c r="A142" s="53"/>
      <c r="B142" s="95"/>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70" t="s">
        <v>32</v>
      </c>
      <c r="C143" s="53"/>
      <c r="D143" s="53"/>
      <c r="E143" s="53"/>
      <c r="F143" s="53"/>
      <c r="G143" s="53"/>
      <c r="H143" s="53"/>
      <c r="I143" s="53"/>
      <c r="J143" s="53"/>
      <c r="K143" s="42"/>
      <c r="L143" s="42"/>
      <c r="M143" s="42"/>
      <c r="N143" s="42"/>
      <c r="O143" s="42"/>
      <c r="P143" s="42"/>
      <c r="Q143" s="42"/>
      <c r="R143" s="42"/>
      <c r="S143" s="42"/>
      <c r="T143" s="42"/>
      <c r="U143" s="42"/>
      <c r="V143" s="42"/>
    </row>
    <row r="144" spans="1:26" x14ac:dyDescent="0.25">
      <c r="A144" s="53"/>
      <c r="B144" s="53"/>
      <c r="C144" s="53"/>
      <c r="D144" s="53"/>
      <c r="E144" s="53"/>
      <c r="F144" s="53"/>
      <c r="G144" s="53"/>
      <c r="H144" s="53"/>
      <c r="I144" s="53"/>
      <c r="J144" s="53"/>
      <c r="K144" s="42"/>
      <c r="L144" s="42"/>
      <c r="M144" s="42"/>
      <c r="N144" s="42"/>
      <c r="O144" s="42"/>
      <c r="P144" s="42"/>
      <c r="Q144" s="42"/>
      <c r="R144" s="42"/>
      <c r="S144" s="42"/>
      <c r="T144" s="42"/>
      <c r="U144" s="42"/>
      <c r="V144" s="42"/>
    </row>
    <row r="145" spans="1:22" s="40" customFormat="1" x14ac:dyDescent="0.25">
      <c r="A145" s="72" t="s">
        <v>131</v>
      </c>
      <c r="B145" s="71" t="s">
        <v>132</v>
      </c>
      <c r="C145" s="72"/>
      <c r="D145" s="72"/>
      <c r="E145" s="72"/>
      <c r="F145" s="72"/>
      <c r="G145" s="72"/>
      <c r="H145" s="72"/>
      <c r="I145" s="72"/>
      <c r="J145" s="72"/>
      <c r="K145" s="44"/>
      <c r="L145" s="44"/>
      <c r="M145" s="44"/>
      <c r="N145" s="44"/>
      <c r="O145" s="44"/>
      <c r="P145" s="44"/>
      <c r="Q145" s="44"/>
      <c r="R145" s="44"/>
      <c r="S145" s="44"/>
      <c r="T145" s="44"/>
      <c r="U145" s="44"/>
      <c r="V145" s="44"/>
    </row>
    <row r="146" spans="1:22" ht="91.5" customHeight="1" x14ac:dyDescent="0.25">
      <c r="A146" s="53"/>
      <c r="B146" s="248" t="s">
        <v>385</v>
      </c>
      <c r="C146" s="249"/>
      <c r="D146" s="249"/>
      <c r="E146" s="249"/>
      <c r="F146" s="249"/>
      <c r="G146" s="249"/>
      <c r="H146" s="249"/>
      <c r="I146" s="249"/>
      <c r="J146" s="250"/>
      <c r="K146" s="42"/>
      <c r="L146" s="42"/>
      <c r="M146" s="42"/>
      <c r="N146" s="42"/>
      <c r="O146" s="42"/>
      <c r="P146" s="42"/>
      <c r="Q146" s="42"/>
      <c r="R146" s="42"/>
      <c r="S146" s="42"/>
      <c r="T146" s="42"/>
      <c r="U146" s="42"/>
      <c r="V146" s="42"/>
    </row>
    <row r="147" spans="1:22" x14ac:dyDescent="0.25">
      <c r="A147" s="53"/>
      <c r="B147" s="53"/>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3"/>
      <c r="E148" s="53"/>
      <c r="F148" s="53"/>
      <c r="G148" s="53"/>
      <c r="H148" s="53"/>
      <c r="I148" s="53"/>
      <c r="J148" s="53"/>
      <c r="K148" s="42"/>
      <c r="L148" s="42"/>
      <c r="M148" s="42"/>
      <c r="N148" s="42"/>
      <c r="O148" s="42"/>
      <c r="P148" s="42"/>
      <c r="Q148" s="42"/>
      <c r="R148" s="42"/>
      <c r="S148" s="42"/>
      <c r="T148" s="42"/>
      <c r="U148" s="42"/>
      <c r="V148" s="42"/>
    </row>
    <row r="149" spans="1:22" x14ac:dyDescent="0.25">
      <c r="A149" s="53"/>
      <c r="B149" s="50"/>
      <c r="C149" s="53"/>
      <c r="D149" s="50"/>
      <c r="E149" s="53"/>
      <c r="F149" s="50"/>
      <c r="G149" s="53"/>
      <c r="H149" s="53"/>
      <c r="I149" s="53"/>
      <c r="J149" s="53"/>
      <c r="K149" s="42"/>
      <c r="L149" s="42"/>
      <c r="M149" s="42"/>
      <c r="N149" s="42"/>
      <c r="O149" s="42"/>
      <c r="P149" s="42"/>
      <c r="Q149" s="42"/>
      <c r="R149" s="42"/>
      <c r="S149" s="42"/>
      <c r="T149" s="42"/>
      <c r="U149" s="42"/>
      <c r="V149" s="42"/>
    </row>
    <row r="150" spans="1:22" x14ac:dyDescent="0.25">
      <c r="A150" s="53"/>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A151" s="45"/>
      <c r="B151" s="53"/>
      <c r="C151" s="53"/>
      <c r="D151" s="53"/>
      <c r="E151" s="53"/>
      <c r="F151" s="53"/>
      <c r="G151" s="53"/>
      <c r="H151" s="53"/>
      <c r="I151" s="53"/>
      <c r="J151" s="53"/>
      <c r="K151" s="42"/>
      <c r="L151" s="42"/>
      <c r="M151" s="42"/>
      <c r="N151" s="42"/>
      <c r="O151" s="42"/>
      <c r="P151" s="42"/>
      <c r="Q151" s="42"/>
      <c r="R151" s="42"/>
      <c r="S151" s="42"/>
      <c r="T151" s="42"/>
      <c r="U151" s="42"/>
      <c r="V151" s="42"/>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73"/>
      <c r="C154" s="73"/>
      <c r="D154" s="73"/>
      <c r="E154" s="73"/>
      <c r="F154" s="73"/>
      <c r="G154" s="73"/>
      <c r="H154" s="73"/>
      <c r="I154" s="73"/>
      <c r="J154" s="73"/>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row r="167" spans="2:10" x14ac:dyDescent="0.25">
      <c r="B167" s="51"/>
      <c r="C167" s="51"/>
      <c r="D167" s="51"/>
      <c r="E167" s="51"/>
      <c r="F167" s="51"/>
      <c r="G167" s="51"/>
      <c r="H167" s="51"/>
      <c r="I167" s="51"/>
      <c r="J167"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C101" name="Range8"/>
    <protectedRange sqref="D98:I99" name="Range7"/>
    <protectedRange sqref="D134:I139" name="Range5"/>
    <protectedRange sqref="D114:E115" name="Range1"/>
    <protectedRange sqref="D117:E118" name="Range2"/>
    <protectedRange sqref="D120:E121" name="Range3"/>
    <protectedRange sqref="B122:E123" name="Range4"/>
    <protectedRange sqref="B146:J146"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D100:I101" name="Range8_1"/>
  </protectedRanges>
  <sortState ref="W3:AA17">
    <sortCondition ref="Z3"/>
  </sortState>
  <customSheetViews>
    <customSheetView guid="{CDDD1BF2-7147-4473-B186-680AA7EBC2A1}" scale="85" hiddenRows="1" topLeftCell="A70">
      <selection activeCell="L106" sqref="L106"/>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E4FCC8BB-C0B4-400B-AC63-5FBAF2D4221B}" scale="85" showPageBreaks="1" printArea="1" hiddenRows="1">
      <selection activeCell="B2" sqref="B2:C2"/>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90" showPageBreaks="1" printArea="1" hiddenRows="1" view="pageBreakPreview" topLeftCell="B1">
      <selection activeCell="C4" sqref="C4"/>
      <rowBreaks count="2" manualBreakCount="2">
        <brk id="30" max="10" man="1"/>
        <brk id="85" max="10" man="1"/>
      </rowBreaks>
      <pageMargins left="0.25" right="0.25" top="0.75" bottom="0.75" header="0.3" footer="0.3"/>
      <printOptions horizontalCentered="1"/>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FEF1506F-6F82-40B0-A457-59C910FA4B02}" scale="85" hiddenRows="1" topLeftCell="A118">
      <selection activeCell="B147" sqref="B147"/>
      <rowBreaks count="2" manualBreakCount="2">
        <brk id="30" max="10" man="1"/>
        <brk id="85" max="10" man="1"/>
      </rowBreaks>
      <pageMargins left="0.25" right="0.25" top="0.75" bottom="0.75" header="0.3" footer="0.3"/>
      <printOptions horizontalCentered="1"/>
      <pageSetup scale="63"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7:C137"/>
    <mergeCell ref="B138:C138"/>
    <mergeCell ref="B135:C135"/>
    <mergeCell ref="B121:C121"/>
    <mergeCell ref="B122:C122"/>
    <mergeCell ref="B123:C123"/>
    <mergeCell ref="B124:C124"/>
    <mergeCell ref="B125:C125"/>
    <mergeCell ref="B105:J105"/>
    <mergeCell ref="B106:G106"/>
    <mergeCell ref="H106:I106"/>
    <mergeCell ref="B140:C140"/>
    <mergeCell ref="B8:J8"/>
    <mergeCell ref="B98:C98"/>
    <mergeCell ref="B116:C116"/>
    <mergeCell ref="B117:C117"/>
    <mergeCell ref="B118:C118"/>
    <mergeCell ref="B119:C119"/>
    <mergeCell ref="B120:C120"/>
    <mergeCell ref="B89:J89"/>
    <mergeCell ref="C69:E69"/>
    <mergeCell ref="C68:E68"/>
    <mergeCell ref="C67:E67"/>
    <mergeCell ref="B29:D29"/>
    <mergeCell ref="F12:H12"/>
    <mergeCell ref="F14:H15"/>
    <mergeCell ref="B40:J40"/>
    <mergeCell ref="B65:J65"/>
    <mergeCell ref="G22:J22"/>
    <mergeCell ref="D22:F22"/>
    <mergeCell ref="B136:C136"/>
    <mergeCell ref="B134:C134"/>
    <mergeCell ref="B110:J110"/>
    <mergeCell ref="B92:C92"/>
    <mergeCell ref="B139:C139"/>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6:C126"/>
    <mergeCell ref="B127:C127"/>
    <mergeCell ref="B128:C128"/>
    <mergeCell ref="B133:C133"/>
    <mergeCell ref="B96:C96"/>
    <mergeCell ref="B93:C93"/>
    <mergeCell ref="B94:C94"/>
    <mergeCell ref="B95:C95"/>
    <mergeCell ref="B47:J47"/>
    <mergeCell ref="B74:J74"/>
    <mergeCell ref="B75:J75"/>
    <mergeCell ref="B91:C91"/>
    <mergeCell ref="B115:C115"/>
    <mergeCell ref="B114:C114"/>
    <mergeCell ref="B113:C113"/>
    <mergeCell ref="B112:C112"/>
    <mergeCell ref="B63:J63"/>
    <mergeCell ref="B62:J62"/>
    <mergeCell ref="B107:G107"/>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6:J146"/>
    <mergeCell ref="F71:J71"/>
    <mergeCell ref="F72:J72"/>
    <mergeCell ref="C72:E72"/>
    <mergeCell ref="C71:E71"/>
    <mergeCell ref="C70:E70"/>
    <mergeCell ref="F70:J70"/>
    <mergeCell ref="F66:J66"/>
    <mergeCell ref="F67:J67"/>
    <mergeCell ref="F68:J68"/>
    <mergeCell ref="F69:J69"/>
    <mergeCell ref="B84:J84"/>
    <mergeCell ref="B83:J83"/>
    <mergeCell ref="B109:J109"/>
    <mergeCell ref="B131:J131"/>
    <mergeCell ref="B103:C103"/>
    <mergeCell ref="B102:C102"/>
    <mergeCell ref="B101:C101"/>
    <mergeCell ref="B99:C99"/>
    <mergeCell ref="C66:E66"/>
    <mergeCell ref="B79:J79"/>
    <mergeCell ref="B97:C97"/>
    <mergeCell ref="B78:J78"/>
    <mergeCell ref="B88:J88"/>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3"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4:I124" formula="1"/>
  </ignoredErrors>
  <drawing r:id="rId6"/>
  <legacyDrawing r:id="rId7"/>
  <mc:AlternateContent xmlns:mc="http://schemas.openxmlformats.org/markup-compatibility/2006">
    <mc:Choice Requires="x14">
      <controls>
        <mc:AlternateContent xmlns:mc="http://schemas.openxmlformats.org/markup-compatibility/2006">
          <mc:Choice Requires="x14">
            <control shapeId="2075" r:id="rId8"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9"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10"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11"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2"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3"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4"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5"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6"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7"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8" name="Check Box 50">
              <controlPr defaultSize="0" autoFill="0" autoLine="0" autoPict="0">
                <anchor moveWithCells="1">
                  <from>
                    <xdr:col>7</xdr:col>
                    <xdr:colOff>685800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9"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20"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21"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2"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3"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4"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5"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6" name="Check Box 69">
              <controlPr defaultSize="0" autoFill="0" autoLine="0" autoPict="0">
                <anchor moveWithCells="1">
                  <from>
                    <xdr:col>8</xdr:col>
                    <xdr:colOff>133350</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2118" r:id="rId27" name="Check Box 70">
              <controlPr defaultSize="0" autoFill="0" autoLine="0" autoPict="0">
                <anchor moveWithCells="1">
                  <from>
                    <xdr:col>6</xdr:col>
                    <xdr:colOff>762000</xdr:colOff>
                    <xdr:row>104</xdr:row>
                    <xdr:rowOff>9525</xdr:rowOff>
                  </from>
                  <to>
                    <xdr:col>7</xdr:col>
                    <xdr:colOff>895350</xdr:colOff>
                    <xdr:row>104</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7" t="s">
        <v>34</v>
      </c>
      <c r="B2" s="427"/>
      <c r="C2" s="427" t="s">
        <v>35</v>
      </c>
      <c r="D2" s="427"/>
      <c r="E2" s="432" t="s">
        <v>36</v>
      </c>
      <c r="F2" s="433"/>
      <c r="G2" s="433"/>
      <c r="H2" s="441" t="s">
        <v>41</v>
      </c>
      <c r="I2" s="441"/>
    </row>
    <row r="3" spans="1:9" x14ac:dyDescent="0.25">
      <c r="A3" s="430"/>
      <c r="B3" s="430"/>
      <c r="C3" s="430"/>
      <c r="D3" s="430"/>
      <c r="E3" s="434"/>
      <c r="F3" s="434"/>
      <c r="G3" s="434"/>
      <c r="H3" s="442">
        <f>I64</f>
        <v>1049869</v>
      </c>
      <c r="I3" s="443"/>
    </row>
    <row r="4" spans="1:9" x14ac:dyDescent="0.25">
      <c r="A4" s="430"/>
      <c r="B4" s="430"/>
      <c r="C4" s="430"/>
      <c r="D4" s="430"/>
      <c r="E4" s="435"/>
      <c r="F4" s="430"/>
      <c r="G4" s="430"/>
      <c r="H4" s="444"/>
      <c r="I4" s="445"/>
    </row>
    <row r="5" spans="1:9" ht="23.1" customHeight="1" x14ac:dyDescent="0.25">
      <c r="A5" s="414" t="s">
        <v>57</v>
      </c>
      <c r="B5" s="415"/>
      <c r="C5" s="26"/>
      <c r="D5" s="26"/>
      <c r="E5" s="26"/>
      <c r="F5" s="26"/>
      <c r="G5" s="26"/>
      <c r="H5" s="26"/>
      <c r="I5" s="27"/>
    </row>
    <row r="6" spans="1:9" ht="114" customHeight="1" x14ac:dyDescent="0.25">
      <c r="A6" s="424"/>
      <c r="B6" s="424"/>
      <c r="C6" s="424"/>
      <c r="D6" s="424"/>
      <c r="E6" s="424"/>
      <c r="F6" s="424"/>
      <c r="G6" s="424"/>
      <c r="H6" s="424"/>
      <c r="I6" s="425"/>
    </row>
    <row r="7" spans="1:9" x14ac:dyDescent="0.25">
      <c r="A7" s="419" t="s">
        <v>53</v>
      </c>
      <c r="B7" s="420"/>
      <c r="C7" s="420"/>
      <c r="D7" s="28"/>
      <c r="E7" s="29"/>
      <c r="F7" s="29"/>
      <c r="G7" s="29"/>
      <c r="H7" s="29"/>
      <c r="I7" s="30"/>
    </row>
    <row r="8" spans="1:9" x14ac:dyDescent="0.25">
      <c r="A8" s="421" t="s">
        <v>45</v>
      </c>
      <c r="B8" s="422"/>
      <c r="C8" s="422"/>
      <c r="D8" s="422"/>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0"/>
      <c r="B12" s="411"/>
      <c r="C12" s="411"/>
      <c r="D12" s="411"/>
      <c r="E12" s="411"/>
      <c r="F12" s="411"/>
      <c r="G12" s="411"/>
      <c r="H12" s="411"/>
      <c r="I12" s="412"/>
    </row>
    <row r="13" spans="1:9" ht="16.5" x14ac:dyDescent="0.25">
      <c r="A13" s="34"/>
      <c r="B13" s="34"/>
      <c r="C13" s="34"/>
      <c r="D13" s="34"/>
      <c r="E13" s="34"/>
      <c r="F13" s="34"/>
      <c r="G13" s="34"/>
      <c r="H13" s="34"/>
      <c r="I13" s="34"/>
    </row>
    <row r="14" spans="1:9" ht="23.1" customHeight="1" x14ac:dyDescent="0.25">
      <c r="A14" s="413" t="s">
        <v>61</v>
      </c>
      <c r="B14" s="413"/>
      <c r="C14" s="413"/>
      <c r="D14" s="413"/>
      <c r="E14" s="413"/>
      <c r="F14" s="413"/>
      <c r="G14" s="413"/>
      <c r="H14" s="413"/>
      <c r="I14" s="413"/>
    </row>
    <row r="15" spans="1:9" ht="16.5" x14ac:dyDescent="0.25">
      <c r="A15" s="34"/>
      <c r="B15" s="34"/>
      <c r="C15" s="34"/>
      <c r="D15" s="34"/>
      <c r="E15" s="34"/>
      <c r="F15" s="34"/>
      <c r="G15" s="34"/>
      <c r="H15" s="34"/>
      <c r="I15" s="34"/>
    </row>
    <row r="16" spans="1:9" ht="57" customHeight="1" x14ac:dyDescent="0.25">
      <c r="A16" s="410"/>
      <c r="B16" s="411"/>
      <c r="C16" s="411"/>
      <c r="D16" s="411"/>
      <c r="E16" s="411"/>
      <c r="F16" s="411"/>
      <c r="G16" s="411"/>
      <c r="H16" s="411"/>
      <c r="I16" s="412"/>
    </row>
    <row r="17" spans="1:9" ht="8.1" customHeight="1" x14ac:dyDescent="0.25">
      <c r="A17" s="34"/>
      <c r="B17" s="34"/>
      <c r="C17" s="34"/>
      <c r="D17" s="34"/>
      <c r="E17" s="34"/>
      <c r="F17" s="34"/>
      <c r="G17" s="34"/>
      <c r="H17" s="34"/>
      <c r="I17" s="34"/>
    </row>
    <row r="18" spans="1:9" ht="15" customHeight="1" x14ac:dyDescent="0.25">
      <c r="A18" s="413" t="s">
        <v>63</v>
      </c>
      <c r="B18" s="413"/>
      <c r="C18" s="413"/>
      <c r="D18" s="413"/>
      <c r="E18" s="413"/>
      <c r="F18" s="413"/>
      <c r="G18" s="413"/>
      <c r="H18" s="413"/>
      <c r="I18" s="413"/>
    </row>
    <row r="19" spans="1:9" ht="16.5" x14ac:dyDescent="0.25">
      <c r="A19" s="34"/>
      <c r="B19" s="34"/>
      <c r="C19" s="34"/>
      <c r="D19" s="34"/>
      <c r="E19" s="34"/>
      <c r="F19" s="34"/>
      <c r="G19" s="34"/>
      <c r="H19" s="34"/>
      <c r="I19" s="34"/>
    </row>
    <row r="20" spans="1:9" ht="33" customHeight="1" x14ac:dyDescent="0.25">
      <c r="A20" s="410"/>
      <c r="B20" s="411"/>
      <c r="C20" s="411"/>
      <c r="D20" s="411"/>
      <c r="E20" s="411"/>
      <c r="F20" s="411"/>
      <c r="G20" s="411"/>
      <c r="H20" s="411"/>
      <c r="I20" s="412"/>
    </row>
    <row r="21" spans="1:9" x14ac:dyDescent="0.25">
      <c r="A21" s="426" t="s">
        <v>65</v>
      </c>
      <c r="B21" s="426"/>
      <c r="C21" s="426"/>
      <c r="D21" s="426"/>
      <c r="E21" s="426"/>
      <c r="F21" s="426"/>
      <c r="G21" s="426"/>
      <c r="H21" s="426"/>
      <c r="I21" s="426"/>
    </row>
    <row r="22" spans="1:9" x14ac:dyDescent="0.25">
      <c r="A22" s="413"/>
      <c r="B22" s="413"/>
      <c r="C22" s="413"/>
      <c r="D22" s="413"/>
      <c r="E22" s="413"/>
      <c r="F22" s="413"/>
      <c r="G22" s="413"/>
      <c r="H22" s="413"/>
      <c r="I22" s="413"/>
    </row>
    <row r="23" spans="1:9" ht="16.5" x14ac:dyDescent="0.25">
      <c r="A23" s="34"/>
      <c r="B23" s="34"/>
      <c r="C23" s="34"/>
      <c r="D23" s="34"/>
      <c r="E23" s="34"/>
      <c r="F23" s="34"/>
      <c r="G23" s="34"/>
      <c r="H23" s="34"/>
      <c r="I23" s="34"/>
    </row>
    <row r="24" spans="1:9" ht="74.45" customHeight="1" x14ac:dyDescent="0.25">
      <c r="A24" s="410"/>
      <c r="B24" s="411"/>
      <c r="C24" s="411"/>
      <c r="D24" s="411"/>
      <c r="E24" s="411"/>
      <c r="F24" s="411"/>
      <c r="G24" s="411"/>
      <c r="H24" s="411"/>
      <c r="I24" s="412"/>
    </row>
    <row r="25" spans="1:9" ht="16.5" x14ac:dyDescent="0.25">
      <c r="A25" s="34"/>
      <c r="B25" s="34"/>
      <c r="C25" s="34"/>
      <c r="D25" s="34"/>
      <c r="E25" s="34"/>
      <c r="F25" s="34"/>
      <c r="G25" s="34"/>
      <c r="H25" s="34"/>
      <c r="I25" s="34"/>
    </row>
    <row r="26" spans="1:9" ht="16.5" x14ac:dyDescent="0.25">
      <c r="A26" s="413" t="s">
        <v>67</v>
      </c>
      <c r="B26" s="413"/>
      <c r="C26" s="413"/>
      <c r="D26" s="413"/>
      <c r="E26" s="413"/>
      <c r="F26" s="413"/>
      <c r="G26" s="413"/>
      <c r="H26" s="413"/>
      <c r="I26" s="413"/>
    </row>
    <row r="27" spans="1:9" ht="16.5" x14ac:dyDescent="0.25">
      <c r="A27" s="34"/>
      <c r="B27" s="34"/>
      <c r="C27" s="34"/>
      <c r="D27" s="34"/>
      <c r="E27" s="34"/>
      <c r="F27" s="34"/>
      <c r="G27" s="34"/>
      <c r="H27" s="34"/>
      <c r="I27" s="34"/>
    </row>
    <row r="28" spans="1:9" ht="92.1" customHeight="1" x14ac:dyDescent="0.25">
      <c r="A28" s="410"/>
      <c r="B28" s="411"/>
      <c r="C28" s="411"/>
      <c r="D28" s="411"/>
      <c r="E28" s="411"/>
      <c r="F28" s="411"/>
      <c r="G28" s="411"/>
      <c r="H28" s="411"/>
      <c r="I28" s="412"/>
    </row>
    <row r="29" spans="1:9" ht="16.5" x14ac:dyDescent="0.25">
      <c r="A29" s="34"/>
      <c r="B29" s="34"/>
      <c r="C29" s="34"/>
      <c r="D29" s="34"/>
      <c r="E29" s="34"/>
      <c r="F29" s="34"/>
      <c r="G29" s="34"/>
      <c r="H29" s="34"/>
      <c r="I29" s="34"/>
    </row>
    <row r="30" spans="1:9" ht="42.75" customHeight="1" x14ac:dyDescent="0.25">
      <c r="A30" s="439" t="s">
        <v>69</v>
      </c>
      <c r="B30" s="439"/>
      <c r="C30" s="439"/>
      <c r="D30" s="439"/>
      <c r="E30" s="439"/>
      <c r="F30" s="439"/>
      <c r="G30" s="439"/>
      <c r="H30" s="439"/>
      <c r="I30" s="439"/>
    </row>
    <row r="31" spans="1:9" ht="16.5" x14ac:dyDescent="0.25">
      <c r="A31" s="34"/>
      <c r="B31" s="34"/>
      <c r="C31" s="34"/>
      <c r="D31" s="34"/>
      <c r="E31" s="34"/>
      <c r="F31" s="34"/>
      <c r="G31" s="34"/>
      <c r="H31" s="34"/>
      <c r="I31" s="34"/>
    </row>
    <row r="32" spans="1:9" ht="33" customHeight="1" x14ac:dyDescent="0.25">
      <c r="A32" s="410"/>
      <c r="B32" s="411"/>
      <c r="C32" s="411"/>
      <c r="D32" s="411"/>
      <c r="E32" s="411"/>
      <c r="F32" s="411"/>
      <c r="G32" s="411"/>
      <c r="H32" s="411"/>
      <c r="I32" s="412"/>
    </row>
    <row r="33" spans="1:9" ht="16.5" x14ac:dyDescent="0.25">
      <c r="A33" s="35"/>
      <c r="B33" s="35"/>
      <c r="C33" s="35"/>
      <c r="D33" s="35"/>
      <c r="E33" s="35"/>
      <c r="F33" s="35"/>
      <c r="G33" s="35"/>
      <c r="H33" s="35"/>
      <c r="I33" s="35"/>
    </row>
    <row r="34" spans="1:9" ht="33" customHeight="1" x14ac:dyDescent="0.25">
      <c r="A34" s="413" t="s">
        <v>71</v>
      </c>
      <c r="B34" s="413"/>
      <c r="C34" s="413"/>
      <c r="D34" s="413"/>
      <c r="E34" s="413"/>
      <c r="F34" s="413"/>
      <c r="G34" s="413"/>
      <c r="H34" s="413"/>
      <c r="I34" s="413"/>
    </row>
    <row r="35" spans="1:9" ht="16.5" x14ac:dyDescent="0.25">
      <c r="A35" s="35"/>
      <c r="B35" s="35"/>
      <c r="C35" s="35"/>
      <c r="D35" s="35"/>
      <c r="E35" s="35"/>
      <c r="F35" s="35"/>
      <c r="G35" s="35"/>
      <c r="H35" s="35"/>
      <c r="I35" s="35"/>
    </row>
    <row r="36" spans="1:9" ht="61.35" customHeight="1" x14ac:dyDescent="0.25">
      <c r="A36" s="423"/>
      <c r="B36" s="424"/>
      <c r="C36" s="424"/>
      <c r="D36" s="424"/>
      <c r="E36" s="424"/>
      <c r="F36" s="424"/>
      <c r="G36" s="424"/>
      <c r="H36" s="424"/>
      <c r="I36" s="425"/>
    </row>
    <row r="37" spans="1:9" ht="16.5" x14ac:dyDescent="0.25">
      <c r="A37" s="35"/>
      <c r="B37" s="35"/>
      <c r="C37" s="35"/>
      <c r="D37" s="35"/>
      <c r="E37" s="35"/>
      <c r="F37" s="35"/>
      <c r="G37" s="35"/>
      <c r="H37" s="35"/>
      <c r="I37" s="35"/>
    </row>
    <row r="38" spans="1:9" ht="20.45" customHeight="1" x14ac:dyDescent="0.25">
      <c r="A38" s="440" t="s">
        <v>73</v>
      </c>
      <c r="B38" s="440"/>
      <c r="C38" s="440"/>
      <c r="D38" s="440"/>
      <c r="E38" s="440"/>
      <c r="F38" s="440"/>
      <c r="G38" s="440"/>
      <c r="H38" s="440"/>
      <c r="I38" s="440"/>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0"/>
      <c r="B46" s="411"/>
      <c r="C46" s="411"/>
      <c r="D46" s="411"/>
      <c r="E46" s="411"/>
      <c r="F46" s="411"/>
      <c r="G46" s="411"/>
      <c r="H46" s="411"/>
      <c r="I46" s="412"/>
    </row>
    <row r="47" spans="1:9" ht="16.5" x14ac:dyDescent="0.25">
      <c r="A47" s="35"/>
      <c r="B47" s="36"/>
      <c r="C47" s="35"/>
      <c r="D47" s="35"/>
      <c r="E47" s="35"/>
      <c r="F47" s="35"/>
      <c r="G47" s="35"/>
      <c r="H47" s="35"/>
      <c r="I47" s="35"/>
    </row>
    <row r="48" spans="1:9" ht="43.35" customHeight="1" x14ac:dyDescent="0.25">
      <c r="A48" s="413" t="s">
        <v>81</v>
      </c>
      <c r="B48" s="413"/>
      <c r="C48" s="413"/>
      <c r="D48" s="413"/>
      <c r="E48" s="413"/>
      <c r="F48" s="413"/>
      <c r="G48" s="413"/>
      <c r="H48" s="413"/>
      <c r="I48" s="413"/>
    </row>
    <row r="49" spans="1:9" ht="16.5" x14ac:dyDescent="0.25">
      <c r="A49" s="35"/>
      <c r="B49" s="36"/>
      <c r="C49" s="35"/>
      <c r="D49" s="35"/>
      <c r="E49" s="35"/>
      <c r="F49" s="35"/>
      <c r="G49" s="35"/>
      <c r="H49" s="35"/>
      <c r="I49" s="35"/>
    </row>
    <row r="50" spans="1:9" ht="22.35" customHeight="1" x14ac:dyDescent="0.25">
      <c r="A50" s="410"/>
      <c r="B50" s="411"/>
      <c r="C50" s="411"/>
      <c r="D50" s="411"/>
      <c r="E50" s="411"/>
      <c r="F50" s="411"/>
      <c r="G50" s="411"/>
      <c r="H50" s="411"/>
      <c r="I50" s="412"/>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6" t="s">
        <v>83</v>
      </c>
      <c r="B56" s="406"/>
      <c r="C56" s="406"/>
      <c r="D56" s="406"/>
      <c r="E56" s="406"/>
      <c r="F56" s="406"/>
      <c r="G56" s="406"/>
      <c r="H56" s="406"/>
      <c r="I56" s="406"/>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6" t="s">
        <v>52</v>
      </c>
      <c r="B68" s="406"/>
      <c r="C68" s="406"/>
      <c r="D68" s="406"/>
      <c r="E68" s="406"/>
      <c r="F68" s="406"/>
      <c r="G68" s="406"/>
      <c r="H68" s="406"/>
      <c r="I68" s="406"/>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9" t="s">
        <v>85</v>
      </c>
      <c r="B83" s="439"/>
      <c r="C83" s="439"/>
      <c r="D83" s="439"/>
      <c r="E83" s="439"/>
      <c r="F83" s="439"/>
      <c r="G83" s="439"/>
      <c r="H83" s="439"/>
      <c r="I83" s="439"/>
    </row>
    <row r="84" spans="1:9" x14ac:dyDescent="0.25">
      <c r="A84" s="24"/>
    </row>
    <row r="85" spans="1:9" ht="75.75" customHeight="1" x14ac:dyDescent="0.25">
      <c r="A85" s="436" t="s">
        <v>86</v>
      </c>
      <c r="B85" s="437"/>
      <c r="C85" s="437"/>
      <c r="D85" s="437"/>
      <c r="E85" s="437"/>
      <c r="F85" s="437"/>
      <c r="G85" s="437"/>
      <c r="H85" s="437"/>
      <c r="I85" s="438"/>
    </row>
    <row r="87" spans="1:9" ht="59.1" customHeight="1" x14ac:dyDescent="0.25">
      <c r="A87" s="407"/>
      <c r="B87" s="408"/>
      <c r="C87" s="408"/>
      <c r="D87" s="408"/>
      <c r="E87" s="408"/>
      <c r="F87" s="408"/>
      <c r="G87" s="408"/>
      <c r="H87" s="408"/>
      <c r="I87" s="409"/>
    </row>
  </sheetData>
  <customSheetViews>
    <customSheetView guid="{CDDD1BF2-7147-4473-B186-680AA7EBC2A1}"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E4FCC8BB-C0B4-400B-AC63-5FBAF2D4221B}"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 guid="{FEF1506F-6F82-40B0-A457-59C910FA4B02}"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4"/>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5"/>
  <headerFooter>
    <oddHeader xml:space="preserve">&amp;C&amp;14Wake Transit Plan
Operating Request Form </oddHeader>
  </headerFooter>
  <rowBreaks count="1" manualBreakCount="1">
    <brk id="53" max="16383" man="1"/>
  </rowBreaks>
  <legacyDrawing r:id="rId6"/>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7" t="s">
        <v>34</v>
      </c>
      <c r="B2" s="427"/>
      <c r="C2" s="427" t="s">
        <v>35</v>
      </c>
      <c r="D2" s="427"/>
      <c r="E2" s="432" t="s">
        <v>36</v>
      </c>
      <c r="F2" s="433"/>
      <c r="G2" s="433"/>
      <c r="H2" s="441" t="s">
        <v>41</v>
      </c>
      <c r="I2" s="441"/>
    </row>
    <row r="3" spans="1:9" x14ac:dyDescent="0.25">
      <c r="A3" s="430" t="s">
        <v>54</v>
      </c>
      <c r="B3" s="430"/>
      <c r="C3" s="430" t="s">
        <v>55</v>
      </c>
      <c r="D3" s="430"/>
      <c r="E3" s="434" t="s">
        <v>38</v>
      </c>
      <c r="F3" s="434"/>
      <c r="G3" s="434"/>
      <c r="H3" s="442">
        <f>I64</f>
        <v>1049869</v>
      </c>
      <c r="I3" s="443"/>
    </row>
    <row r="4" spans="1:9" x14ac:dyDescent="0.25">
      <c r="A4" s="430"/>
      <c r="B4" s="430"/>
      <c r="C4" s="430"/>
      <c r="D4" s="430"/>
      <c r="E4" s="435" t="s">
        <v>56</v>
      </c>
      <c r="F4" s="430"/>
      <c r="G4" s="430"/>
      <c r="H4" s="444"/>
      <c r="I4" s="445"/>
    </row>
    <row r="5" spans="1:9" ht="23.1" customHeight="1" x14ac:dyDescent="0.25">
      <c r="A5" s="414" t="s">
        <v>57</v>
      </c>
      <c r="B5" s="415"/>
      <c r="C5" s="26"/>
      <c r="D5" s="26"/>
      <c r="E5" s="26"/>
      <c r="F5" s="26"/>
      <c r="G5" s="26"/>
      <c r="H5" s="26"/>
      <c r="I5" s="27"/>
    </row>
    <row r="6" spans="1:9" ht="114" customHeight="1" x14ac:dyDescent="0.25">
      <c r="A6" s="424" t="s">
        <v>58</v>
      </c>
      <c r="B6" s="424"/>
      <c r="C6" s="424"/>
      <c r="D6" s="424"/>
      <c r="E6" s="424"/>
      <c r="F6" s="424"/>
      <c r="G6" s="424"/>
      <c r="H6" s="424"/>
      <c r="I6" s="425"/>
    </row>
    <row r="7" spans="1:9" x14ac:dyDescent="0.25">
      <c r="A7" s="419" t="s">
        <v>53</v>
      </c>
      <c r="B7" s="420"/>
      <c r="C7" s="420"/>
      <c r="D7" s="28"/>
      <c r="E7" s="29"/>
      <c r="F7" s="29"/>
      <c r="G7" s="29"/>
      <c r="H7" s="29"/>
      <c r="I7" s="30"/>
    </row>
    <row r="8" spans="1:9" x14ac:dyDescent="0.25">
      <c r="A8" s="421" t="s">
        <v>45</v>
      </c>
      <c r="B8" s="422"/>
      <c r="C8" s="422"/>
      <c r="D8" s="422"/>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0" t="s">
        <v>60</v>
      </c>
      <c r="B12" s="411"/>
      <c r="C12" s="411"/>
      <c r="D12" s="411"/>
      <c r="E12" s="411"/>
      <c r="F12" s="411"/>
      <c r="G12" s="411"/>
      <c r="H12" s="411"/>
      <c r="I12" s="412"/>
    </row>
    <row r="13" spans="1:9" ht="16.5" x14ac:dyDescent="0.25">
      <c r="A13" s="34"/>
      <c r="B13" s="34"/>
      <c r="C13" s="34"/>
      <c r="D13" s="34"/>
      <c r="E13" s="34"/>
      <c r="F13" s="34"/>
      <c r="G13" s="34"/>
      <c r="H13" s="34"/>
      <c r="I13" s="34"/>
    </row>
    <row r="14" spans="1:9" ht="23.1" customHeight="1" x14ac:dyDescent="0.25">
      <c r="A14" s="413" t="s">
        <v>61</v>
      </c>
      <c r="B14" s="413"/>
      <c r="C14" s="413"/>
      <c r="D14" s="413"/>
      <c r="E14" s="413"/>
      <c r="F14" s="413"/>
      <c r="G14" s="413"/>
      <c r="H14" s="413"/>
      <c r="I14" s="413"/>
    </row>
    <row r="15" spans="1:9" ht="16.5" x14ac:dyDescent="0.25">
      <c r="A15" s="34"/>
      <c r="B15" s="34"/>
      <c r="C15" s="34"/>
      <c r="D15" s="34"/>
      <c r="E15" s="34"/>
      <c r="F15" s="34"/>
      <c r="G15" s="34"/>
      <c r="H15" s="34"/>
      <c r="I15" s="34"/>
    </row>
    <row r="16" spans="1:9" ht="57" customHeight="1" x14ac:dyDescent="0.25">
      <c r="A16" s="410" t="s">
        <v>62</v>
      </c>
      <c r="B16" s="411"/>
      <c r="C16" s="411"/>
      <c r="D16" s="411"/>
      <c r="E16" s="411"/>
      <c r="F16" s="411"/>
      <c r="G16" s="411"/>
      <c r="H16" s="411"/>
      <c r="I16" s="412"/>
    </row>
    <row r="17" spans="1:9" ht="8.1" customHeight="1" x14ac:dyDescent="0.25">
      <c r="A17" s="34"/>
      <c r="B17" s="34"/>
      <c r="C17" s="34"/>
      <c r="D17" s="34"/>
      <c r="E17" s="34"/>
      <c r="F17" s="34"/>
      <c r="G17" s="34"/>
      <c r="H17" s="34"/>
      <c r="I17" s="34"/>
    </row>
    <row r="18" spans="1:9" ht="15" customHeight="1" x14ac:dyDescent="0.25">
      <c r="A18" s="413" t="s">
        <v>63</v>
      </c>
      <c r="B18" s="413"/>
      <c r="C18" s="413"/>
      <c r="D18" s="413"/>
      <c r="E18" s="413"/>
      <c r="F18" s="413"/>
      <c r="G18" s="413"/>
      <c r="H18" s="413"/>
      <c r="I18" s="413"/>
    </row>
    <row r="19" spans="1:9" ht="16.5" x14ac:dyDescent="0.25">
      <c r="A19" s="34"/>
      <c r="B19" s="34"/>
      <c r="C19" s="34"/>
      <c r="D19" s="34"/>
      <c r="E19" s="34"/>
      <c r="F19" s="34"/>
      <c r="G19" s="34"/>
      <c r="H19" s="34"/>
      <c r="I19" s="34"/>
    </row>
    <row r="20" spans="1:9" ht="33" customHeight="1" x14ac:dyDescent="0.25">
      <c r="A20" s="410" t="s">
        <v>64</v>
      </c>
      <c r="B20" s="411"/>
      <c r="C20" s="411"/>
      <c r="D20" s="411"/>
      <c r="E20" s="411"/>
      <c r="F20" s="411"/>
      <c r="G20" s="411"/>
      <c r="H20" s="411"/>
      <c r="I20" s="412"/>
    </row>
    <row r="21" spans="1:9" x14ac:dyDescent="0.25">
      <c r="A21" s="426" t="s">
        <v>65</v>
      </c>
      <c r="B21" s="426"/>
      <c r="C21" s="426"/>
      <c r="D21" s="426"/>
      <c r="E21" s="426"/>
      <c r="F21" s="426"/>
      <c r="G21" s="426"/>
      <c r="H21" s="426"/>
      <c r="I21" s="426"/>
    </row>
    <row r="22" spans="1:9" x14ac:dyDescent="0.25">
      <c r="A22" s="413"/>
      <c r="B22" s="413"/>
      <c r="C22" s="413"/>
      <c r="D22" s="413"/>
      <c r="E22" s="413"/>
      <c r="F22" s="413"/>
      <c r="G22" s="413"/>
      <c r="H22" s="413"/>
      <c r="I22" s="413"/>
    </row>
    <row r="23" spans="1:9" ht="16.5" x14ac:dyDescent="0.25">
      <c r="A23" s="34"/>
      <c r="B23" s="34"/>
      <c r="C23" s="34"/>
      <c r="D23" s="34"/>
      <c r="E23" s="34"/>
      <c r="F23" s="34"/>
      <c r="G23" s="34"/>
      <c r="H23" s="34"/>
      <c r="I23" s="34"/>
    </row>
    <row r="24" spans="1:9" ht="74.45" customHeight="1" x14ac:dyDescent="0.25">
      <c r="A24" s="410" t="s">
        <v>66</v>
      </c>
      <c r="B24" s="411"/>
      <c r="C24" s="411"/>
      <c r="D24" s="411"/>
      <c r="E24" s="411"/>
      <c r="F24" s="411"/>
      <c r="G24" s="411"/>
      <c r="H24" s="411"/>
      <c r="I24" s="412"/>
    </row>
    <row r="25" spans="1:9" ht="16.5" x14ac:dyDescent="0.25">
      <c r="A25" s="34"/>
      <c r="B25" s="34"/>
      <c r="C25" s="34"/>
      <c r="D25" s="34"/>
      <c r="E25" s="34"/>
      <c r="F25" s="34"/>
      <c r="G25" s="34"/>
      <c r="H25" s="34"/>
      <c r="I25" s="34"/>
    </row>
    <row r="26" spans="1:9" ht="16.5" x14ac:dyDescent="0.25">
      <c r="A26" s="413" t="s">
        <v>67</v>
      </c>
      <c r="B26" s="413"/>
      <c r="C26" s="413"/>
      <c r="D26" s="413"/>
      <c r="E26" s="413"/>
      <c r="F26" s="413"/>
      <c r="G26" s="413"/>
      <c r="H26" s="413"/>
      <c r="I26" s="413"/>
    </row>
    <row r="27" spans="1:9" ht="16.5" x14ac:dyDescent="0.25">
      <c r="A27" s="34"/>
      <c r="B27" s="34"/>
      <c r="C27" s="34"/>
      <c r="D27" s="34"/>
      <c r="E27" s="34"/>
      <c r="F27" s="34"/>
      <c r="G27" s="34"/>
      <c r="H27" s="34"/>
      <c r="I27" s="34"/>
    </row>
    <row r="28" spans="1:9" ht="92.1" customHeight="1" x14ac:dyDescent="0.25">
      <c r="A28" s="413" t="s">
        <v>68</v>
      </c>
      <c r="B28" s="413"/>
      <c r="C28" s="413"/>
      <c r="D28" s="413"/>
      <c r="E28" s="413"/>
      <c r="F28" s="413"/>
      <c r="G28" s="413"/>
      <c r="H28" s="413"/>
      <c r="I28" s="446"/>
    </row>
    <row r="29" spans="1:9" ht="16.5" x14ac:dyDescent="0.25">
      <c r="A29" s="34"/>
      <c r="B29" s="34"/>
      <c r="C29" s="34"/>
      <c r="D29" s="34"/>
      <c r="E29" s="34"/>
      <c r="F29" s="34"/>
      <c r="G29" s="34"/>
      <c r="H29" s="34"/>
      <c r="I29" s="34"/>
    </row>
    <row r="30" spans="1:9" ht="42.75" customHeight="1" x14ac:dyDescent="0.25">
      <c r="A30" s="439" t="s">
        <v>69</v>
      </c>
      <c r="B30" s="439"/>
      <c r="C30" s="439"/>
      <c r="D30" s="439"/>
      <c r="E30" s="439"/>
      <c r="F30" s="439"/>
      <c r="G30" s="439"/>
      <c r="H30" s="439"/>
      <c r="I30" s="439"/>
    </row>
    <row r="31" spans="1:9" ht="16.5" x14ac:dyDescent="0.25">
      <c r="A31" s="34"/>
      <c r="B31" s="34"/>
      <c r="C31" s="34"/>
      <c r="D31" s="34"/>
      <c r="E31" s="34"/>
      <c r="F31" s="34"/>
      <c r="G31" s="34"/>
      <c r="H31" s="34"/>
      <c r="I31" s="34"/>
    </row>
    <row r="32" spans="1:9" ht="33" customHeight="1" x14ac:dyDescent="0.25">
      <c r="A32" s="410" t="s">
        <v>70</v>
      </c>
      <c r="B32" s="411"/>
      <c r="C32" s="411"/>
      <c r="D32" s="411"/>
      <c r="E32" s="411"/>
      <c r="F32" s="411"/>
      <c r="G32" s="411"/>
      <c r="H32" s="411"/>
      <c r="I32" s="412"/>
    </row>
    <row r="33" spans="1:9" ht="16.5" x14ac:dyDescent="0.25">
      <c r="A33" s="35"/>
      <c r="B33" s="35"/>
      <c r="C33" s="35"/>
      <c r="D33" s="35"/>
      <c r="E33" s="35"/>
      <c r="F33" s="35"/>
      <c r="G33" s="35"/>
      <c r="H33" s="35"/>
      <c r="I33" s="35"/>
    </row>
    <row r="34" spans="1:9" ht="33" customHeight="1" x14ac:dyDescent="0.25">
      <c r="A34" s="413" t="s">
        <v>71</v>
      </c>
      <c r="B34" s="413"/>
      <c r="C34" s="413"/>
      <c r="D34" s="413"/>
      <c r="E34" s="413"/>
      <c r="F34" s="413"/>
      <c r="G34" s="413"/>
      <c r="H34" s="413"/>
      <c r="I34" s="413"/>
    </row>
    <row r="35" spans="1:9" ht="16.5" x14ac:dyDescent="0.25">
      <c r="A35" s="35"/>
      <c r="B35" s="35"/>
      <c r="C35" s="35"/>
      <c r="D35" s="35"/>
      <c r="E35" s="35"/>
      <c r="F35" s="35"/>
      <c r="G35" s="35"/>
      <c r="H35" s="35"/>
      <c r="I35" s="35"/>
    </row>
    <row r="36" spans="1:9" ht="61.35" customHeight="1" x14ac:dyDescent="0.25">
      <c r="A36" s="423" t="s">
        <v>72</v>
      </c>
      <c r="B36" s="424"/>
      <c r="C36" s="424"/>
      <c r="D36" s="424"/>
      <c r="E36" s="424"/>
      <c r="F36" s="424"/>
      <c r="G36" s="424"/>
      <c r="H36" s="424"/>
      <c r="I36" s="425"/>
    </row>
    <row r="37" spans="1:9" ht="16.5" x14ac:dyDescent="0.25">
      <c r="A37" s="35"/>
      <c r="B37" s="35"/>
      <c r="C37" s="35"/>
      <c r="D37" s="35"/>
      <c r="E37" s="35"/>
      <c r="F37" s="35"/>
      <c r="G37" s="35"/>
      <c r="H37" s="35"/>
      <c r="I37" s="35"/>
    </row>
    <row r="38" spans="1:9" ht="20.45" customHeight="1" x14ac:dyDescent="0.25">
      <c r="A38" s="440" t="s">
        <v>73</v>
      </c>
      <c r="B38" s="440"/>
      <c r="C38" s="440"/>
      <c r="D38" s="440"/>
      <c r="E38" s="440"/>
      <c r="F38" s="440"/>
      <c r="G38" s="440"/>
      <c r="H38" s="440"/>
      <c r="I38" s="440"/>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0" t="s">
        <v>80</v>
      </c>
      <c r="B46" s="411"/>
      <c r="C46" s="411"/>
      <c r="D46" s="411"/>
      <c r="E46" s="411"/>
      <c r="F46" s="411"/>
      <c r="G46" s="411"/>
      <c r="H46" s="411"/>
      <c r="I46" s="412"/>
    </row>
    <row r="47" spans="1:9" ht="16.5" x14ac:dyDescent="0.25">
      <c r="A47" s="35"/>
      <c r="B47" s="36"/>
      <c r="C47" s="35"/>
      <c r="D47" s="35"/>
      <c r="E47" s="35"/>
      <c r="F47" s="35"/>
      <c r="G47" s="35"/>
      <c r="H47" s="35"/>
      <c r="I47" s="35"/>
    </row>
    <row r="48" spans="1:9" ht="43.35" customHeight="1" x14ac:dyDescent="0.25">
      <c r="A48" s="413" t="s">
        <v>81</v>
      </c>
      <c r="B48" s="413"/>
      <c r="C48" s="413"/>
      <c r="D48" s="413"/>
      <c r="E48" s="413"/>
      <c r="F48" s="413"/>
      <c r="G48" s="413"/>
      <c r="H48" s="413"/>
      <c r="I48" s="413"/>
    </row>
    <row r="49" spans="1:9" ht="16.5" x14ac:dyDescent="0.25">
      <c r="A49" s="35"/>
      <c r="B49" s="36"/>
      <c r="C49" s="35"/>
      <c r="D49" s="35"/>
      <c r="E49" s="35"/>
      <c r="F49" s="35"/>
      <c r="G49" s="35"/>
      <c r="H49" s="35"/>
      <c r="I49" s="35"/>
    </row>
    <row r="50" spans="1:9" ht="22.35" customHeight="1" x14ac:dyDescent="0.25">
      <c r="A50" s="410" t="s">
        <v>82</v>
      </c>
      <c r="B50" s="411"/>
      <c r="C50" s="411"/>
      <c r="D50" s="411"/>
      <c r="E50" s="411"/>
      <c r="F50" s="411"/>
      <c r="G50" s="411"/>
      <c r="H50" s="411"/>
      <c r="I50" s="412"/>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6" t="s">
        <v>83</v>
      </c>
      <c r="B56" s="406"/>
      <c r="C56" s="406"/>
      <c r="D56" s="406"/>
      <c r="E56" s="406"/>
      <c r="F56" s="406"/>
      <c r="G56" s="406"/>
      <c r="H56" s="406"/>
      <c r="I56" s="406"/>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6" t="s">
        <v>52</v>
      </c>
      <c r="B68" s="406"/>
      <c r="C68" s="406"/>
      <c r="D68" s="406"/>
      <c r="E68" s="406"/>
      <c r="F68" s="406"/>
      <c r="G68" s="406"/>
      <c r="H68" s="406"/>
      <c r="I68" s="406"/>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9" t="s">
        <v>85</v>
      </c>
      <c r="B83" s="439"/>
      <c r="C83" s="439"/>
      <c r="D83" s="439"/>
      <c r="E83" s="439"/>
      <c r="F83" s="439"/>
      <c r="G83" s="439"/>
      <c r="H83" s="439"/>
      <c r="I83" s="439"/>
    </row>
    <row r="84" spans="1:9" x14ac:dyDescent="0.25">
      <c r="A84" s="24"/>
    </row>
    <row r="85" spans="1:9" ht="75.75" customHeight="1" x14ac:dyDescent="0.25">
      <c r="A85" s="436" t="s">
        <v>86</v>
      </c>
      <c r="B85" s="437"/>
      <c r="C85" s="437"/>
      <c r="D85" s="437"/>
      <c r="E85" s="437"/>
      <c r="F85" s="437"/>
      <c r="G85" s="437"/>
      <c r="H85" s="437"/>
      <c r="I85" s="438"/>
    </row>
    <row r="87" spans="1:9" ht="59.1" customHeight="1" x14ac:dyDescent="0.25">
      <c r="A87" s="407"/>
      <c r="B87" s="408"/>
      <c r="C87" s="408"/>
      <c r="D87" s="408"/>
      <c r="E87" s="408"/>
      <c r="F87" s="408"/>
      <c r="G87" s="408"/>
      <c r="H87" s="409"/>
    </row>
  </sheetData>
  <customSheetViews>
    <customSheetView guid="{CDDD1BF2-7147-4473-B186-680AA7EBC2A1}"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E4FCC8BB-C0B4-400B-AC63-5FBAF2D4221B}"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 guid="{FEF1506F-6F82-40B0-A457-59C910FA4B02}"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4"/>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5"/>
  </hyperlinks>
  <pageMargins left="0.7" right="0.7" top="0.75" bottom="0.75" header="0.3" footer="0.3"/>
  <pageSetup scale="80" orientation="portrait" verticalDpi="0" r:id="rId6"/>
  <headerFooter>
    <oddHeader xml:space="preserve">&amp;C&amp;14Wake Transit Plan
Operating Request Form </oddHeader>
  </headerFooter>
  <rowBreaks count="1" manualBreakCount="1">
    <brk id="53" max="16383" man="1"/>
  </rowBreaks>
  <legacyDrawing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zoomScale="80" zoomScaleNormal="55" zoomScaleSheetLayoutView="80" workbookViewId="0">
      <selection activeCell="B39" sqref="B39:I39"/>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74" t="s">
        <v>194</v>
      </c>
      <c r="C1" s="275"/>
      <c r="D1" s="312" t="s">
        <v>165</v>
      </c>
      <c r="E1" s="313"/>
      <c r="F1" s="313"/>
      <c r="G1" s="313"/>
      <c r="H1" s="314"/>
      <c r="I1" s="97" t="s">
        <v>115</v>
      </c>
      <c r="J1" s="98">
        <v>43282</v>
      </c>
      <c r="K1" s="42"/>
      <c r="L1" s="42"/>
      <c r="M1" s="42"/>
      <c r="N1" s="42"/>
      <c r="O1" s="42"/>
      <c r="P1" s="42"/>
      <c r="Q1" s="42"/>
      <c r="R1" s="42"/>
      <c r="S1" s="42"/>
      <c r="T1" s="42"/>
      <c r="U1" s="42"/>
      <c r="V1" s="42"/>
    </row>
    <row r="2" spans="1:29" ht="18.75" customHeight="1" thickTop="1" thickBot="1" x14ac:dyDescent="0.35">
      <c r="A2" s="45"/>
      <c r="B2" s="315" t="str">
        <f>'FY19 Project Request '!B2:C2</f>
        <v>19GOT_TS2</v>
      </c>
      <c r="C2" s="316"/>
      <c r="D2" s="263" t="s">
        <v>118</v>
      </c>
      <c r="E2" s="264"/>
      <c r="F2" s="264"/>
      <c r="G2" s="264"/>
      <c r="H2" s="264"/>
      <c r="I2" s="276" t="s">
        <v>103</v>
      </c>
      <c r="J2" s="277"/>
      <c r="K2" s="42"/>
      <c r="L2" s="42"/>
      <c r="M2" s="42"/>
      <c r="N2" s="42"/>
      <c r="O2" s="42"/>
      <c r="P2" s="42"/>
      <c r="Q2" s="42"/>
      <c r="R2" s="42"/>
      <c r="S2" s="42"/>
      <c r="T2" s="42"/>
      <c r="U2" s="42"/>
      <c r="V2" s="42"/>
      <c r="AB2" s="209" t="s">
        <v>202</v>
      </c>
      <c r="AC2" s="191" t="s">
        <v>103</v>
      </c>
    </row>
    <row r="3" spans="1:29" ht="17.25" customHeight="1" thickTop="1" x14ac:dyDescent="0.3">
      <c r="A3" s="45"/>
      <c r="B3" s="317" t="s">
        <v>302</v>
      </c>
      <c r="C3" s="318"/>
      <c r="D3" s="263" t="s">
        <v>195</v>
      </c>
      <c r="E3" s="263"/>
      <c r="F3" s="263"/>
      <c r="G3" s="263"/>
      <c r="H3" s="263"/>
      <c r="I3" s="302" t="s">
        <v>202</v>
      </c>
      <c r="J3" s="303"/>
      <c r="K3" s="42"/>
      <c r="L3" s="42"/>
      <c r="M3" s="42"/>
      <c r="N3" s="42"/>
      <c r="O3" s="42"/>
      <c r="P3" s="42"/>
      <c r="Q3" s="42"/>
      <c r="R3" s="42"/>
      <c r="S3" s="42"/>
      <c r="T3" s="42"/>
      <c r="U3" s="42"/>
      <c r="V3" s="42"/>
      <c r="AB3" s="209" t="s">
        <v>203</v>
      </c>
      <c r="AC3" s="191" t="s">
        <v>277</v>
      </c>
    </row>
    <row r="4" spans="1:29" ht="17.25" x14ac:dyDescent="0.3">
      <c r="A4" s="45"/>
      <c r="B4" s="319"/>
      <c r="C4" s="320"/>
      <c r="D4" s="268"/>
      <c r="E4" s="263"/>
      <c r="F4" s="263"/>
      <c r="G4" s="263"/>
      <c r="H4" s="263"/>
      <c r="I4" s="52"/>
      <c r="J4" s="52"/>
      <c r="K4" s="42"/>
      <c r="L4" s="42"/>
      <c r="M4" s="42"/>
      <c r="N4" s="42"/>
      <c r="O4" s="42"/>
      <c r="P4" s="42"/>
      <c r="Q4" s="42"/>
      <c r="R4" s="42"/>
      <c r="S4" s="42"/>
      <c r="T4" s="42"/>
      <c r="U4" s="42"/>
      <c r="V4" s="42"/>
      <c r="AB4" s="209" t="s">
        <v>204</v>
      </c>
      <c r="AC4" s="191" t="s">
        <v>278</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205</v>
      </c>
      <c r="AC5" s="191" t="s">
        <v>279</v>
      </c>
    </row>
    <row r="6" spans="1:29"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c r="AC6" s="191" t="s">
        <v>280</v>
      </c>
    </row>
    <row r="7" spans="1:29"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0" t="s">
        <v>34</v>
      </c>
      <c r="C9" s="311"/>
      <c r="D9" s="310" t="s">
        <v>35</v>
      </c>
      <c r="E9" s="311"/>
      <c r="F9" s="155" t="s">
        <v>36</v>
      </c>
      <c r="G9" s="156"/>
      <c r="H9" s="192"/>
      <c r="I9" s="310" t="s">
        <v>112</v>
      </c>
      <c r="J9" s="311"/>
      <c r="K9" s="42"/>
      <c r="L9" s="42"/>
      <c r="M9" s="42"/>
      <c r="N9" s="42"/>
      <c r="O9" s="42"/>
      <c r="P9" s="42"/>
      <c r="Q9" s="42"/>
      <c r="R9" s="42"/>
      <c r="S9" s="42"/>
      <c r="T9" s="42"/>
      <c r="U9" s="42"/>
      <c r="V9" s="42"/>
    </row>
    <row r="10" spans="1:29" ht="18" customHeight="1" x14ac:dyDescent="0.25">
      <c r="A10" s="45"/>
      <c r="B10" s="336" t="str">
        <f>Project_Name</f>
        <v>Durham-Raleigh Express, Additional Frequency</v>
      </c>
      <c r="C10" s="337"/>
      <c r="D10" s="336" t="str">
        <f>Requesting_Agency</f>
        <v>GoTriangle</v>
      </c>
      <c r="E10" s="337"/>
      <c r="F10" s="340" t="str">
        <f>'FY19 Project Request '!F11:H11</f>
        <v>Erik Landfried</v>
      </c>
      <c r="G10" s="340"/>
      <c r="H10" s="340"/>
      <c r="I10" s="139" t="s">
        <v>282</v>
      </c>
      <c r="J10" s="140">
        <f>'FY19 Project Request '!J11</f>
        <v>121853.6</v>
      </c>
      <c r="K10" s="42"/>
      <c r="L10" s="42"/>
      <c r="M10" s="42"/>
      <c r="N10" s="42"/>
      <c r="O10" s="42"/>
      <c r="P10" s="42"/>
      <c r="Q10" s="42"/>
      <c r="R10" s="42"/>
      <c r="S10" s="42"/>
      <c r="T10" s="42"/>
      <c r="U10" s="42"/>
      <c r="V10" s="42"/>
    </row>
    <row r="11" spans="1:29" ht="18" customHeight="1" x14ac:dyDescent="0.25">
      <c r="A11" s="45"/>
      <c r="B11" s="338"/>
      <c r="C11" s="339"/>
      <c r="D11" s="338"/>
      <c r="E11" s="339"/>
      <c r="F11" s="340" t="str">
        <f>'FY19 Project Request '!F12:H12</f>
        <v>elandfried@gotriangle.org</v>
      </c>
      <c r="G11" s="340"/>
      <c r="H11" s="340"/>
      <c r="I11" s="139" t="s">
        <v>283</v>
      </c>
      <c r="J11" s="140">
        <f>'FY19 Project Request '!J12</f>
        <v>781111.375</v>
      </c>
      <c r="K11" s="42"/>
      <c r="L11" s="42"/>
      <c r="M11" s="42"/>
      <c r="N11" s="42"/>
      <c r="O11" s="42"/>
      <c r="P11" s="42"/>
      <c r="Q11" s="42"/>
      <c r="R11" s="42"/>
      <c r="S11" s="42"/>
      <c r="T11" s="42"/>
      <c r="U11" s="42"/>
      <c r="V11" s="42"/>
    </row>
    <row r="12" spans="1:29" x14ac:dyDescent="0.25">
      <c r="A12" s="45"/>
      <c r="B12" s="310" t="s">
        <v>39</v>
      </c>
      <c r="C12" s="311"/>
      <c r="D12" s="310" t="s">
        <v>40</v>
      </c>
      <c r="E12" s="311"/>
      <c r="F12" s="155" t="s">
        <v>97</v>
      </c>
      <c r="G12" s="156"/>
      <c r="H12" s="192"/>
      <c r="I12" s="310" t="s">
        <v>113</v>
      </c>
      <c r="J12" s="311"/>
      <c r="K12" s="42"/>
      <c r="L12" s="42"/>
      <c r="M12" s="42"/>
      <c r="N12" s="42"/>
      <c r="O12" s="42"/>
      <c r="P12" s="42"/>
      <c r="Q12" s="42"/>
      <c r="R12" s="42"/>
      <c r="S12" s="42"/>
      <c r="T12" s="42"/>
      <c r="U12" s="42"/>
      <c r="V12" s="42"/>
    </row>
    <row r="13" spans="1:29" ht="15.75" customHeight="1" x14ac:dyDescent="0.25">
      <c r="A13" s="45"/>
      <c r="B13" s="321">
        <f>Start_Date</f>
        <v>43318</v>
      </c>
      <c r="C13" s="322"/>
      <c r="D13" s="321" t="str">
        <f>End_Date</f>
        <v>N/A</v>
      </c>
      <c r="E13" s="322"/>
      <c r="F13" s="325" t="str">
        <f>Added_notes_as_appropriate</f>
        <v>(Add notes as appropriate)</v>
      </c>
      <c r="G13" s="326"/>
      <c r="H13" s="327"/>
      <c r="I13" s="139" t="s">
        <v>282</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23"/>
      <c r="C14" s="324"/>
      <c r="D14" s="323"/>
      <c r="E14" s="324"/>
      <c r="F14" s="328"/>
      <c r="G14" s="329"/>
      <c r="H14" s="330"/>
      <c r="I14" s="139" t="s">
        <v>283</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31" t="s">
        <v>90</v>
      </c>
      <c r="C15" s="332"/>
      <c r="D15" s="333"/>
      <c r="E15" s="334"/>
      <c r="F15" s="334"/>
      <c r="G15" s="334"/>
      <c r="H15" s="334"/>
      <c r="I15" s="334"/>
      <c r="J15" s="335"/>
      <c r="K15" s="42"/>
      <c r="L15" s="42"/>
      <c r="M15" s="42"/>
      <c r="N15" s="42"/>
      <c r="O15" s="42"/>
      <c r="P15" s="42"/>
      <c r="Q15" s="42"/>
      <c r="R15" s="42"/>
      <c r="S15" s="42"/>
      <c r="T15" s="42"/>
      <c r="U15" s="42"/>
      <c r="V15" s="42"/>
      <c r="W15" s="37" t="b">
        <v>0</v>
      </c>
    </row>
    <row r="16" spans="1:29" ht="102.75" customHeight="1" x14ac:dyDescent="0.25">
      <c r="A16" s="45"/>
      <c r="B16" s="344" t="str">
        <f>'FY19 Project Request '!B17:J17</f>
        <v>Route DRX would have additional time and trips added, to provide service every 30 minutes or better during AM and PM peak periods. (The "or better" is likely to take the form of 15-20 minute frequencies during the highest-ridership hour of the day.) Currently, frequencies vary between 30 and 45 minutes, which leads to vehicle crowding.
Durham County revenues from the Tax District currently contribute 2.12 revenue hours per day to the route. This project would add 5.50 revenue hours per day, for a total Durham County contribution of 7.62 revenue hours per day. A parallel Wake County contribution would add up to 7.62 revenue hours per day.</v>
      </c>
      <c r="C16" s="345"/>
      <c r="D16" s="345"/>
      <c r="E16" s="345"/>
      <c r="F16" s="345"/>
      <c r="G16" s="345"/>
      <c r="H16" s="346"/>
      <c r="I16" s="346"/>
      <c r="J16" s="347"/>
      <c r="K16" s="42"/>
      <c r="L16" s="42"/>
      <c r="M16" s="42"/>
      <c r="N16" s="42"/>
      <c r="O16" s="42"/>
      <c r="P16" s="42"/>
      <c r="Q16" s="42"/>
      <c r="R16" s="42"/>
      <c r="S16" s="42"/>
      <c r="T16" s="42"/>
      <c r="U16" s="42"/>
      <c r="V16" s="42"/>
      <c r="X16" s="159"/>
      <c r="Y16" s="159" t="b">
        <v>1</v>
      </c>
    </row>
    <row r="17" spans="1:28" ht="20.25" customHeight="1" x14ac:dyDescent="0.25">
      <c r="A17" s="45"/>
      <c r="B17" s="349" t="s">
        <v>229</v>
      </c>
      <c r="C17" s="349"/>
      <c r="D17" s="349"/>
      <c r="E17" s="146" t="str">
        <f>IF('FY19 Project Request '!X35,"YES",IF('FY19 Project Request '!X36,"NO",))</f>
        <v>YES</v>
      </c>
      <c r="F17" s="353"/>
      <c r="G17" s="354"/>
      <c r="H17" s="350"/>
      <c r="I17" s="351"/>
      <c r="J17" s="352"/>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8" t="str">
        <f>'FY19 Project Request '!B22:C22</f>
        <v>From Duke &amp; VA Hospitals to GoRaleigh Station via NC-147, I-40, Wade Ave, and Hillsborough St.</v>
      </c>
      <c r="C21" s="348"/>
      <c r="D21" s="348" t="str">
        <f>'FY19 Project Request '!D22:F22</f>
        <v>Triangle residents who commute between Raleigh and Durham, in either direction.</v>
      </c>
      <c r="E21" s="348"/>
      <c r="F21" s="348"/>
      <c r="G21" s="348" t="str">
        <f>'FY19 Project Request '!G22:J22</f>
        <v>Additional frequency, reduced crowding, and improved reliability.</v>
      </c>
      <c r="H21" s="348"/>
      <c r="I21" s="348"/>
      <c r="J21" s="348"/>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196</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4" t="s">
        <v>200</v>
      </c>
      <c r="C27" s="254"/>
      <c r="D27" s="254"/>
      <c r="E27" s="254"/>
      <c r="F27" s="254"/>
      <c r="G27" s="254"/>
      <c r="H27" s="254"/>
      <c r="I27" s="254"/>
      <c r="J27" s="254"/>
      <c r="K27" s="42"/>
      <c r="L27" s="42"/>
      <c r="M27" s="42"/>
      <c r="N27" s="42"/>
      <c r="O27" s="42"/>
      <c r="P27" s="42"/>
      <c r="Q27" s="42"/>
      <c r="R27" s="42"/>
      <c r="S27" s="42"/>
      <c r="T27" s="42"/>
      <c r="U27" s="42"/>
      <c r="V27" s="42"/>
    </row>
    <row r="28" spans="1:28" s="40" customFormat="1" x14ac:dyDescent="0.25">
      <c r="A28" s="76"/>
      <c r="C28" s="310" t="s">
        <v>201</v>
      </c>
      <c r="D28" s="343"/>
      <c r="E28" s="311"/>
      <c r="F28" s="89" t="s">
        <v>202</v>
      </c>
      <c r="G28" s="89" t="s">
        <v>203</v>
      </c>
      <c r="H28" s="89" t="s">
        <v>204</v>
      </c>
      <c r="I28" s="89" t="s">
        <v>205</v>
      </c>
      <c r="J28" s="44"/>
      <c r="K28" s="44"/>
      <c r="L28" s="44"/>
      <c r="M28" s="44"/>
      <c r="N28" s="44"/>
      <c r="O28" s="44"/>
      <c r="P28" s="44"/>
      <c r="Q28" s="44"/>
      <c r="R28" s="44"/>
      <c r="S28" s="44"/>
      <c r="T28" s="44"/>
      <c r="U28" s="44"/>
      <c r="V28" s="44"/>
    </row>
    <row r="29" spans="1:28" ht="21" customHeight="1" x14ac:dyDescent="0.25">
      <c r="A29" s="74"/>
      <c r="B29" s="59" t="s">
        <v>92</v>
      </c>
      <c r="C29" s="341" t="str">
        <f>KPI_a</f>
        <v>TS-Average Daily RidershipThe average number of riders on Routes DRX each weekday.</v>
      </c>
      <c r="D29" s="342"/>
      <c r="E29" s="342"/>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41" t="str">
        <f>KPI_b</f>
        <v>TS-Passengers per HourThe number of passenger trips provided per revenue hour by Routes DRX.</v>
      </c>
      <c r="D30" s="342"/>
      <c r="E30" s="342"/>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41" t="str">
        <f>KPI_c</f>
        <v>TS-Revenue Hours of Service ProvidedThe total number of revenue hours provided through this Tax District investment.</v>
      </c>
      <c r="D31" s="342"/>
      <c r="E31" s="342"/>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55" t="s">
        <v>202</v>
      </c>
      <c r="C36" s="356"/>
      <c r="D36" s="355" t="s">
        <v>203</v>
      </c>
      <c r="E36" s="356"/>
      <c r="F36" s="355" t="s">
        <v>204</v>
      </c>
      <c r="G36" s="356"/>
      <c r="H36" s="355" t="s">
        <v>205</v>
      </c>
      <c r="I36" s="356"/>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6"/>
      <c r="C37" s="307"/>
      <c r="D37" s="306"/>
      <c r="E37" s="307"/>
      <c r="F37" s="306"/>
      <c r="G37" s="307"/>
      <c r="H37" s="306"/>
      <c r="I37" s="307"/>
      <c r="J37" s="42"/>
      <c r="K37" s="42"/>
      <c r="L37" s="42"/>
      <c r="M37" s="42"/>
      <c r="N37" s="42"/>
      <c r="O37" s="42"/>
      <c r="P37" s="42"/>
      <c r="Q37" s="42"/>
      <c r="R37" s="42"/>
      <c r="S37" s="42"/>
      <c r="T37" s="42"/>
      <c r="U37" s="42"/>
      <c r="V37" s="42"/>
      <c r="W37" s="42"/>
      <c r="X37" s="42"/>
      <c r="Y37" s="42"/>
      <c r="Z37" s="147"/>
    </row>
    <row r="38" spans="1:26" ht="15.75" thickBot="1" x14ac:dyDescent="0.3">
      <c r="A38" s="53"/>
      <c r="B38" s="308" t="s">
        <v>207</v>
      </c>
      <c r="C38" s="309"/>
      <c r="D38" s="308" t="s">
        <v>207</v>
      </c>
      <c r="E38" s="309"/>
      <c r="F38" s="308" t="s">
        <v>207</v>
      </c>
      <c r="G38" s="309"/>
      <c r="H38" s="308" t="s">
        <v>207</v>
      </c>
      <c r="I38" s="309"/>
      <c r="J38" s="53"/>
      <c r="K38" s="42"/>
      <c r="L38" s="42"/>
      <c r="M38" s="42"/>
      <c r="N38" s="42"/>
      <c r="O38" s="42"/>
      <c r="P38" s="42"/>
      <c r="Q38" s="42"/>
      <c r="R38" s="42"/>
      <c r="S38" s="42"/>
      <c r="T38" s="42"/>
      <c r="U38" s="42"/>
      <c r="V38" s="42"/>
    </row>
    <row r="39" spans="1:26" ht="15.75" thickTop="1" x14ac:dyDescent="0.25">
      <c r="A39" s="45"/>
      <c r="B39" s="306"/>
      <c r="C39" s="307"/>
      <c r="D39" s="306"/>
      <c r="E39" s="307"/>
      <c r="F39" s="306"/>
      <c r="G39" s="307"/>
      <c r="H39" s="306"/>
      <c r="I39" s="307"/>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237</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360</v>
      </c>
      <c r="C44" s="226"/>
      <c r="D44" s="229" t="str">
        <f>IF('FY19 Project Request '!H106&gt;0,ROUND('FY19 Project Request '!H106,),"N/A")</f>
        <v>N/A</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5" t="str">
        <f>$I$2&amp;"-"&amp;$I$3</f>
        <v>FY 2019-Quarter 1</v>
      </c>
      <c r="C48" s="156"/>
      <c r="D48" s="151" t="s">
        <v>215</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9" t="s">
        <v>325</v>
      </c>
      <c r="C49" s="150"/>
      <c r="D49" s="240"/>
      <c r="E49" s="173">
        <f>D50-D49</f>
        <v>121853.6</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9" t="s">
        <v>324</v>
      </c>
      <c r="C50" s="150"/>
      <c r="D50" s="241">
        <f>'FY19 Project Request '!J11</f>
        <v>121853.6</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9" t="s">
        <v>276</v>
      </c>
      <c r="C51" s="170"/>
      <c r="D51" s="152">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215</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04" t="s">
        <v>322</v>
      </c>
      <c r="C59" s="305"/>
      <c r="D59" s="240"/>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00" t="s">
        <v>323</v>
      </c>
      <c r="C60" s="301"/>
      <c r="D60" s="241">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00" t="s">
        <v>276</v>
      </c>
      <c r="C61" s="301"/>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CDDD1BF2-7147-4473-B186-680AA7EBC2A1}" scale="80" showPageBreaks="1" printArea="1" hiddenColumns="1" view="pageBreakPreview">
      <selection activeCell="B39" sqref="B39:I3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E4FCC8BB-C0B4-400B-AC63-5FBAF2D4221B}" scale="80" showPageBreaks="1" printArea="1" hiddenColumns="1" view="pageBreakPreview">
      <selection activeCell="B39" sqref="B39:I3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22">
      <selection activeCell="B39" sqref="B39:I39"/>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FEF1506F-6F82-40B0-A457-59C910FA4B02}" scale="80" showPageBreaks="1" printArea="1" hiddenColumns="1" view="pageBreakPreview">
      <selection activeCell="B39" sqref="B39:I39"/>
      <pageMargins left="0.25" right="0.25" top="0.75" bottom="0.75" header="0.3" footer="0.3"/>
      <printOptions horizontalCentered="1"/>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5" display="elandfried@gotriangle.org "/>
    <hyperlink ref="F10" r:id="rId6" display="elandfried@gotriangle.org "/>
  </hyperlinks>
  <printOptions horizontalCentered="1"/>
  <pageMargins left="0.25" right="0.25" top="0.75" bottom="0.75" header="0.3" footer="0.3"/>
  <pageSetup scale="50" fitToHeight="4" orientation="portrait" r:id="rId7"/>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8"/>
  <legacyDrawing r:id="rId9"/>
  <mc:AlternateContent xmlns:mc="http://schemas.openxmlformats.org/markup-compatibility/2006">
    <mc:Choice Requires="x14">
      <controls>
        <mc:AlternateContent xmlns:mc="http://schemas.openxmlformats.org/markup-compatibility/2006">
          <mc:Choice Requires="x14">
            <control shapeId="8195" r:id="rId10"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11"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2"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B21" sqref="B21:J21"/>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74" t="s">
        <v>194</v>
      </c>
      <c r="C1" s="275"/>
      <c r="D1" s="312" t="s">
        <v>165</v>
      </c>
      <c r="E1" s="313"/>
      <c r="F1" s="313"/>
      <c r="G1" s="313"/>
      <c r="H1" s="314"/>
      <c r="I1" s="97" t="s">
        <v>115</v>
      </c>
      <c r="J1" s="98">
        <v>43282</v>
      </c>
      <c r="K1" s="42"/>
      <c r="L1" s="42"/>
      <c r="M1" s="42"/>
      <c r="N1" s="42"/>
      <c r="O1" s="42"/>
      <c r="P1" s="42"/>
      <c r="Q1" s="42"/>
      <c r="R1" s="42"/>
      <c r="S1" s="42"/>
      <c r="T1" s="42"/>
      <c r="U1" s="42"/>
      <c r="V1" s="42"/>
    </row>
    <row r="2" spans="1:29" ht="18.75" customHeight="1" thickTop="1" thickBot="1" x14ac:dyDescent="0.35">
      <c r="A2" s="45"/>
      <c r="B2" s="315" t="str">
        <f>'FY19 Project Request '!B2:C2</f>
        <v>19GOT_TS2</v>
      </c>
      <c r="C2" s="316"/>
      <c r="D2" s="263" t="s">
        <v>118</v>
      </c>
      <c r="E2" s="264"/>
      <c r="F2" s="264"/>
      <c r="G2" s="264"/>
      <c r="H2" s="264"/>
      <c r="I2" s="360" t="str">
        <f>'FY19 Project Request '!I2:J2</f>
        <v>FY 2019</v>
      </c>
      <c r="J2" s="361"/>
      <c r="K2" s="42"/>
      <c r="L2" s="42"/>
      <c r="M2" s="42"/>
      <c r="N2" s="42"/>
      <c r="O2" s="42"/>
      <c r="P2" s="42"/>
      <c r="Q2" s="42"/>
      <c r="R2" s="42"/>
      <c r="S2" s="42"/>
      <c r="T2" s="42"/>
      <c r="U2" s="42"/>
      <c r="V2" s="42"/>
      <c r="AC2" s="191" t="s">
        <v>103</v>
      </c>
    </row>
    <row r="3" spans="1:29" ht="17.25" customHeight="1" x14ac:dyDescent="0.3">
      <c r="A3" s="45"/>
      <c r="B3" s="317" t="s">
        <v>231</v>
      </c>
      <c r="C3" s="318"/>
      <c r="D3" s="263" t="s">
        <v>343</v>
      </c>
      <c r="E3" s="263"/>
      <c r="F3" s="263"/>
      <c r="G3" s="263"/>
      <c r="H3" s="263"/>
      <c r="I3" s="43">
        <v>43281</v>
      </c>
      <c r="J3" s="52"/>
      <c r="K3" s="42"/>
      <c r="L3" s="42"/>
      <c r="M3" s="42"/>
      <c r="N3" s="42"/>
      <c r="O3" s="42"/>
      <c r="P3" s="42"/>
      <c r="Q3" s="42"/>
      <c r="R3" s="42"/>
      <c r="S3" s="42"/>
      <c r="T3" s="42"/>
      <c r="U3" s="42"/>
      <c r="V3" s="42"/>
      <c r="AC3" s="191" t="s">
        <v>277</v>
      </c>
    </row>
    <row r="4" spans="1:29" ht="17.25" x14ac:dyDescent="0.3">
      <c r="A4" s="45"/>
      <c r="B4" s="319"/>
      <c r="C4" s="320"/>
      <c r="D4" s="268"/>
      <c r="E4" s="263"/>
      <c r="F4" s="263"/>
      <c r="G4" s="263"/>
      <c r="H4" s="263"/>
      <c r="I4" s="52"/>
      <c r="J4" s="52"/>
      <c r="K4" s="42"/>
      <c r="L4" s="42"/>
      <c r="M4" s="42"/>
      <c r="N4" s="42"/>
      <c r="O4" s="42"/>
      <c r="P4" s="42"/>
      <c r="Q4" s="42"/>
      <c r="R4" s="42"/>
      <c r="S4" s="42"/>
      <c r="T4" s="42"/>
      <c r="U4" s="42"/>
      <c r="V4" s="42"/>
      <c r="AC4" s="191" t="s">
        <v>278</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279</v>
      </c>
    </row>
    <row r="6" spans="1:29"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c r="AC6" s="191" t="s">
        <v>280</v>
      </c>
    </row>
    <row r="7" spans="1:29"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0" t="s">
        <v>34</v>
      </c>
      <c r="C9" s="311"/>
      <c r="D9" s="213" t="s">
        <v>35</v>
      </c>
      <c r="E9" s="192" t="s">
        <v>301</v>
      </c>
      <c r="F9" s="155" t="s">
        <v>36</v>
      </c>
      <c r="G9" s="156"/>
      <c r="H9" s="192"/>
      <c r="I9" s="310" t="s">
        <v>112</v>
      </c>
      <c r="J9" s="311"/>
      <c r="K9" s="42"/>
      <c r="L9" s="42"/>
      <c r="M9" s="42"/>
      <c r="N9" s="42"/>
      <c r="O9" s="42"/>
      <c r="P9" s="42"/>
      <c r="Q9" s="42"/>
      <c r="R9" s="42"/>
      <c r="S9" s="42"/>
      <c r="T9" s="42"/>
      <c r="U9" s="42"/>
      <c r="V9" s="42"/>
    </row>
    <row r="10" spans="1:29" ht="18" customHeight="1" x14ac:dyDescent="0.25">
      <c r="A10" s="45"/>
      <c r="B10" s="336" t="str">
        <f>Project_Name</f>
        <v>Durham-Raleigh Express, Additional Frequency</v>
      </c>
      <c r="C10" s="337"/>
      <c r="D10" s="362" t="str">
        <f>Requesting_Agency</f>
        <v>GoTriangle</v>
      </c>
      <c r="E10" s="364"/>
      <c r="F10" s="357" t="str">
        <f>'FY19 Project Request '!F11:H11</f>
        <v>Erik Landfried</v>
      </c>
      <c r="G10" s="358"/>
      <c r="H10" s="359"/>
      <c r="I10" s="139" t="s">
        <v>282</v>
      </c>
      <c r="J10" s="140">
        <f>'FY19 Project Request '!J11</f>
        <v>121853.6</v>
      </c>
      <c r="K10" s="42"/>
      <c r="L10" s="42"/>
      <c r="M10" s="42"/>
      <c r="N10" s="42"/>
      <c r="O10" s="42"/>
      <c r="P10" s="42"/>
      <c r="Q10" s="42"/>
      <c r="R10" s="42"/>
      <c r="S10" s="42"/>
      <c r="T10" s="42"/>
      <c r="U10" s="42"/>
      <c r="V10" s="42"/>
    </row>
    <row r="11" spans="1:29" ht="18" customHeight="1" x14ac:dyDescent="0.25">
      <c r="A11" s="45"/>
      <c r="B11" s="338"/>
      <c r="C11" s="339"/>
      <c r="D11" s="363"/>
      <c r="E11" s="365"/>
      <c r="F11" s="357" t="str">
        <f>'FY19 Project Request '!F12:H12</f>
        <v>elandfried@gotriangle.org</v>
      </c>
      <c r="G11" s="358"/>
      <c r="H11" s="359"/>
      <c r="I11" s="139" t="s">
        <v>283</v>
      </c>
      <c r="J11" s="140">
        <f>'FY19 Project Request '!J12</f>
        <v>781111.375</v>
      </c>
      <c r="K11" s="42"/>
      <c r="L11" s="42"/>
      <c r="M11" s="42"/>
      <c r="N11" s="42"/>
      <c r="O11" s="42"/>
      <c r="P11" s="42"/>
      <c r="Q11" s="42"/>
      <c r="R11" s="42"/>
      <c r="S11" s="42"/>
      <c r="T11" s="42"/>
      <c r="U11" s="42"/>
      <c r="V11" s="42"/>
    </row>
    <row r="12" spans="1:29" x14ac:dyDescent="0.25">
      <c r="A12" s="45"/>
      <c r="B12" s="310" t="s">
        <v>39</v>
      </c>
      <c r="C12" s="311"/>
      <c r="D12" s="310" t="s">
        <v>40</v>
      </c>
      <c r="E12" s="311"/>
      <c r="F12" s="155" t="s">
        <v>97</v>
      </c>
      <c r="G12" s="156"/>
      <c r="H12" s="192"/>
      <c r="I12" s="310" t="s">
        <v>113</v>
      </c>
      <c r="J12" s="311"/>
      <c r="K12" s="42"/>
      <c r="L12" s="42"/>
      <c r="M12" s="42"/>
      <c r="N12" s="42"/>
      <c r="O12" s="42"/>
      <c r="P12" s="42"/>
      <c r="Q12" s="42"/>
      <c r="R12" s="42"/>
      <c r="S12" s="42"/>
      <c r="T12" s="42"/>
      <c r="U12" s="42"/>
      <c r="V12" s="42"/>
    </row>
    <row r="13" spans="1:29" ht="15.75" customHeight="1" x14ac:dyDescent="0.25">
      <c r="A13" s="45"/>
      <c r="B13" s="321">
        <f>Start_Date</f>
        <v>43318</v>
      </c>
      <c r="C13" s="322"/>
      <c r="D13" s="321" t="str">
        <f>End_Date</f>
        <v>N/A</v>
      </c>
      <c r="E13" s="322"/>
      <c r="F13" s="325" t="str">
        <f>Added_notes_as_appropriate</f>
        <v>(Add notes as appropriate)</v>
      </c>
      <c r="G13" s="326"/>
      <c r="H13" s="327"/>
      <c r="I13" s="139" t="s">
        <v>282</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23"/>
      <c r="C14" s="324"/>
      <c r="D14" s="323"/>
      <c r="E14" s="324"/>
      <c r="F14" s="328"/>
      <c r="G14" s="329"/>
      <c r="H14" s="330"/>
      <c r="I14" s="139" t="s">
        <v>283</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31" t="s">
        <v>90</v>
      </c>
      <c r="C15" s="332"/>
      <c r="D15" s="333"/>
      <c r="E15" s="334"/>
      <c r="F15" s="334"/>
      <c r="G15" s="334"/>
      <c r="H15" s="334"/>
      <c r="I15" s="334"/>
      <c r="J15" s="335"/>
      <c r="K15" s="42"/>
      <c r="L15" s="42"/>
      <c r="M15" s="42"/>
      <c r="N15" s="42"/>
      <c r="O15" s="42"/>
      <c r="P15" s="42"/>
      <c r="Q15" s="42"/>
      <c r="R15" s="42"/>
      <c r="S15" s="42"/>
      <c r="T15" s="42"/>
      <c r="U15" s="42"/>
      <c r="V15" s="42"/>
      <c r="W15" s="37" t="b">
        <v>0</v>
      </c>
    </row>
    <row r="16" spans="1:29" ht="102.75" customHeight="1" x14ac:dyDescent="0.25">
      <c r="A16" s="45"/>
      <c r="B16" s="344" t="str">
        <f>'FY19 Project Request '!B17:J17</f>
        <v>Route DRX would have additional time and trips added, to provide service every 30 minutes or better during AM and PM peak periods. (The "or better" is likely to take the form of 15-20 minute frequencies during the highest-ridership hour of the day.) Currently, frequencies vary between 30 and 45 minutes, which leads to vehicle crowding.
Durham County revenues from the Tax District currently contribute 2.12 revenue hours per day to the route. This project would add 5.50 revenue hours per day, for a total Durham County contribution of 7.62 revenue hours per day. A parallel Wake County contribution would add up to 7.62 revenue hours per day.</v>
      </c>
      <c r="C16" s="345"/>
      <c r="D16" s="345"/>
      <c r="E16" s="345"/>
      <c r="F16" s="345"/>
      <c r="G16" s="345"/>
      <c r="H16" s="346"/>
      <c r="I16" s="346"/>
      <c r="J16" s="347"/>
      <c r="K16" s="42"/>
      <c r="L16" s="42"/>
      <c r="M16" s="42"/>
      <c r="N16" s="42"/>
      <c r="O16" s="42"/>
      <c r="P16" s="42"/>
      <c r="Q16" s="42"/>
      <c r="R16" s="42"/>
      <c r="S16" s="42"/>
      <c r="T16" s="42"/>
      <c r="U16" s="42"/>
      <c r="V16" s="42"/>
      <c r="X16" s="159"/>
      <c r="Y16" s="159" t="b">
        <v>1</v>
      </c>
    </row>
    <row r="17" spans="1:28" ht="20.25" customHeight="1" x14ac:dyDescent="0.25">
      <c r="A17" s="45"/>
      <c r="B17" s="349" t="s">
        <v>229</v>
      </c>
      <c r="C17" s="349"/>
      <c r="D17" s="349"/>
      <c r="E17" s="146" t="str">
        <f>IF('FY19 Project Request '!X35,"YES",IF('FY19 Project Request '!X36,"NO",))</f>
        <v>YES</v>
      </c>
      <c r="F17" s="353"/>
      <c r="G17" s="354"/>
      <c r="H17" s="350"/>
      <c r="I17" s="351"/>
      <c r="J17" s="352"/>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8" t="str">
        <f>'FY19 Project Request '!B22:C22</f>
        <v>From Duke &amp; VA Hospitals to GoRaleigh Station via NC-147, I-40, Wade Ave, and Hillsborough St.</v>
      </c>
      <c r="C21" s="348"/>
      <c r="D21" s="348" t="str">
        <f>'FY19 Project Request '!D22:F22</f>
        <v>Triangle residents who commute between Raleigh and Durham, in either direction.</v>
      </c>
      <c r="E21" s="348"/>
      <c r="F21" s="348"/>
      <c r="G21" s="348" t="str">
        <f>'FY19 Project Request '!G22:J22</f>
        <v>Additional frequency, reduced crowding, and improved reliability.</v>
      </c>
      <c r="H21" s="348"/>
      <c r="I21" s="348"/>
      <c r="J21" s="348"/>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332</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4" t="s">
        <v>200</v>
      </c>
      <c r="C27" s="254"/>
      <c r="D27" s="254"/>
      <c r="E27" s="254"/>
      <c r="F27" s="254"/>
      <c r="G27" s="254"/>
      <c r="H27" s="254"/>
      <c r="I27" s="254"/>
      <c r="J27" s="254"/>
      <c r="K27" s="42"/>
      <c r="L27" s="42"/>
      <c r="M27" s="42"/>
      <c r="N27" s="42"/>
      <c r="O27" s="42"/>
      <c r="P27" s="42"/>
      <c r="Q27" s="42"/>
      <c r="R27" s="42"/>
      <c r="S27" s="42"/>
      <c r="T27" s="42"/>
      <c r="U27" s="42"/>
      <c r="V27" s="42"/>
    </row>
    <row r="28" spans="1:28" s="40" customFormat="1" x14ac:dyDescent="0.25">
      <c r="A28" s="76"/>
      <c r="C28" s="310" t="s">
        <v>201</v>
      </c>
      <c r="D28" s="343"/>
      <c r="E28" s="311"/>
      <c r="F28" s="190" t="s">
        <v>202</v>
      </c>
      <c r="G28" s="190" t="s">
        <v>203</v>
      </c>
      <c r="H28" s="190" t="s">
        <v>204</v>
      </c>
      <c r="I28" s="190" t="s">
        <v>205</v>
      </c>
      <c r="J28" s="44"/>
      <c r="K28" s="44"/>
      <c r="L28" s="44"/>
      <c r="M28" s="44"/>
      <c r="N28" s="44"/>
      <c r="O28" s="44"/>
      <c r="P28" s="44"/>
      <c r="Q28" s="44"/>
      <c r="R28" s="44"/>
      <c r="S28" s="44"/>
      <c r="T28" s="44"/>
      <c r="U28" s="44"/>
      <c r="V28" s="44"/>
    </row>
    <row r="29" spans="1:28" ht="21" customHeight="1" x14ac:dyDescent="0.25">
      <c r="A29" s="74"/>
      <c r="B29" s="59" t="s">
        <v>92</v>
      </c>
      <c r="C29" s="341" t="str">
        <f>KPI_a</f>
        <v>TS-Average Daily RidershipThe average number of riders on Routes DRX each weekday.</v>
      </c>
      <c r="D29" s="342"/>
      <c r="E29" s="342"/>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41" t="str">
        <f>KPI_b</f>
        <v>TS-Passengers per HourThe number of passenger trips provided per revenue hour by Routes DRX.</v>
      </c>
      <c r="D30" s="342"/>
      <c r="E30" s="342"/>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41" t="str">
        <f>KPI_c</f>
        <v>TS-Revenue Hours of Service ProvidedThe total number of revenue hours provided through this Tax District investment.</v>
      </c>
      <c r="D31" s="342"/>
      <c r="E31" s="342"/>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333</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CDDD1BF2-7147-4473-B186-680AA7EBC2A1}" scale="90" showPageBreaks="1" printArea="1" hiddenColumns="1" view="pageBreakPreview">
      <selection activeCell="B21" sqref="B21:J21"/>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E4FCC8BB-C0B4-400B-AC63-5FBAF2D4221B}" scale="90" showPageBreaks="1" printArea="1" hiddenColumns="1" view="pageBreakPreview">
      <selection activeCell="B21" sqref="B21:J21"/>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90" showPageBreaks="1" printArea="1" hiddenColumns="1" view="pageBreakPreview">
      <selection activeCell="B21" sqref="B21:J21"/>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FEF1506F-6F82-40B0-A457-59C910FA4B02}" scale="90" showPageBreaks="1" printArea="1" hiddenColumns="1" view="pageBreakPreview">
      <selection activeCell="B21" sqref="B21:J21"/>
      <pageMargins left="0.25" right="0.25" top="0.75" bottom="0.75" header="0.3" footer="0.3"/>
      <printOptions horizontalCentered="1"/>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5" display="elandfried@gotriangle.org "/>
    <hyperlink ref="F10" r:id="rId6" display="elandfried@gotriangle.org "/>
  </hyperlinks>
  <printOptions horizontalCentered="1"/>
  <pageMargins left="0.25" right="0.25" top="0.75" bottom="0.75" header="0.3" footer="0.3"/>
  <pageSetup scale="50" fitToHeight="4" orientation="portrait" r:id="rId7"/>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8"/>
  <legacyDrawing r:id="rId9"/>
  <mc:AlternateContent xmlns:mc="http://schemas.openxmlformats.org/markup-compatibility/2006">
    <mc:Choice Requires="x14">
      <controls>
        <mc:AlternateContent xmlns:mc="http://schemas.openxmlformats.org/markup-compatibility/2006">
          <mc:Choice Requires="x14">
            <control shapeId="21505" r:id="rId10"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11"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2"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151"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303</v>
      </c>
      <c r="C1" s="195"/>
      <c r="D1" s="195"/>
      <c r="E1" s="195"/>
      <c r="F1" s="195"/>
      <c r="G1" s="195"/>
    </row>
    <row r="2" spans="2:7" ht="23.25" x14ac:dyDescent="0.25">
      <c r="B2" s="194" t="s">
        <v>304</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305</v>
      </c>
      <c r="C5" s="195"/>
      <c r="D5" s="195"/>
      <c r="E5" s="195"/>
      <c r="F5" s="195"/>
      <c r="G5" s="195"/>
    </row>
    <row r="6" spans="2:7" x14ac:dyDescent="0.25">
      <c r="B6" s="198"/>
      <c r="C6" s="195"/>
      <c r="D6" s="195"/>
      <c r="E6" s="195"/>
      <c r="F6" s="195"/>
      <c r="G6" s="195"/>
    </row>
    <row r="7" spans="2:7" ht="94.5" x14ac:dyDescent="0.25">
      <c r="B7" s="199" t="s">
        <v>306</v>
      </c>
      <c r="C7" s="195"/>
      <c r="D7" s="195"/>
      <c r="E7" s="195"/>
      <c r="F7" s="195"/>
      <c r="G7" s="195"/>
    </row>
    <row r="8" spans="2:7" x14ac:dyDescent="0.25">
      <c r="B8" s="200"/>
      <c r="C8" s="195"/>
      <c r="D8" s="195"/>
      <c r="E8" s="195"/>
      <c r="F8" s="195"/>
      <c r="G8" s="195"/>
    </row>
    <row r="9" spans="2:7" ht="141.75" x14ac:dyDescent="0.25">
      <c r="B9" s="199" t="s">
        <v>307</v>
      </c>
      <c r="C9" s="195"/>
      <c r="D9" s="195"/>
      <c r="E9" s="195"/>
      <c r="F9" s="195"/>
      <c r="G9" s="195"/>
    </row>
    <row r="10" spans="2:7" x14ac:dyDescent="0.25">
      <c r="B10" s="199" t="s">
        <v>308</v>
      </c>
      <c r="C10" s="195"/>
      <c r="D10" s="195"/>
      <c r="E10" s="195"/>
      <c r="F10" s="195"/>
      <c r="G10" s="195"/>
    </row>
    <row r="11" spans="2:7" ht="31.5" x14ac:dyDescent="0.25">
      <c r="B11" s="201" t="s">
        <v>320</v>
      </c>
      <c r="C11" s="195"/>
      <c r="D11" s="195"/>
      <c r="E11" s="195"/>
      <c r="F11" s="195"/>
      <c r="G11" s="195"/>
    </row>
    <row r="12" spans="2:7" x14ac:dyDescent="0.25">
      <c r="B12" s="199"/>
      <c r="C12" s="195"/>
      <c r="D12" s="195"/>
      <c r="E12" s="195"/>
      <c r="F12" s="195"/>
      <c r="G12" s="195"/>
    </row>
    <row r="13" spans="2:7" ht="18" x14ac:dyDescent="0.25">
      <c r="B13" s="202" t="s">
        <v>309</v>
      </c>
      <c r="C13" s="195"/>
      <c r="D13" s="195"/>
      <c r="E13" s="195"/>
      <c r="F13" s="195"/>
      <c r="G13" s="195"/>
    </row>
    <row r="14" spans="2:7" x14ac:dyDescent="0.25">
      <c r="B14" s="203"/>
      <c r="C14" s="195"/>
      <c r="D14" s="195"/>
      <c r="E14" s="195"/>
      <c r="F14" s="195"/>
      <c r="G14" s="195"/>
    </row>
    <row r="15" spans="2:7" ht="41.25" customHeight="1" x14ac:dyDescent="0.25">
      <c r="B15" s="231" t="s">
        <v>361</v>
      </c>
      <c r="C15" s="195"/>
      <c r="D15" s="195"/>
      <c r="E15" s="195"/>
      <c r="F15" s="195"/>
      <c r="G15" s="195"/>
    </row>
    <row r="16" spans="2:7" x14ac:dyDescent="0.25">
      <c r="B16" s="199"/>
      <c r="C16" s="195"/>
      <c r="D16" s="195"/>
      <c r="E16" s="195"/>
      <c r="F16" s="195"/>
      <c r="G16" s="195"/>
    </row>
    <row r="17" spans="2:7" ht="18" x14ac:dyDescent="0.25">
      <c r="B17" s="202" t="s">
        <v>310</v>
      </c>
      <c r="C17" s="195"/>
      <c r="D17" s="195"/>
      <c r="E17" s="195"/>
      <c r="F17" s="195"/>
      <c r="G17" s="195"/>
    </row>
    <row r="18" spans="2:7" x14ac:dyDescent="0.25">
      <c r="B18" s="204"/>
      <c r="C18" s="195"/>
      <c r="D18" s="195"/>
      <c r="E18" s="195"/>
      <c r="F18" s="195"/>
      <c r="G18" s="195"/>
    </row>
    <row r="19" spans="2:7" x14ac:dyDescent="0.25">
      <c r="B19" s="205" t="s">
        <v>311</v>
      </c>
      <c r="C19" s="195"/>
      <c r="D19" s="195"/>
      <c r="E19" s="195"/>
      <c r="F19" s="195"/>
      <c r="G19" s="195"/>
    </row>
    <row r="20" spans="2:7" ht="63" x14ac:dyDescent="0.25">
      <c r="B20" s="199" t="s">
        <v>312</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313</v>
      </c>
      <c r="C39" s="195"/>
      <c r="D39" s="195"/>
      <c r="E39" s="195"/>
      <c r="F39" s="195"/>
      <c r="G39" s="195"/>
    </row>
    <row r="40" spans="2:7" x14ac:dyDescent="0.25">
      <c r="B40" s="204"/>
      <c r="C40" s="195"/>
      <c r="D40" s="195"/>
      <c r="E40" s="195"/>
      <c r="F40" s="195"/>
      <c r="G40" s="195"/>
    </row>
    <row r="41" spans="2:7" x14ac:dyDescent="0.25">
      <c r="B41" s="199" t="s">
        <v>314</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272</v>
      </c>
      <c r="C44" s="195"/>
      <c r="D44" s="195"/>
      <c r="E44" s="195"/>
      <c r="F44" s="195"/>
      <c r="G44" s="195"/>
    </row>
    <row r="45" spans="2:7" x14ac:dyDescent="0.25">
      <c r="B45" s="203"/>
      <c r="C45" s="195"/>
      <c r="D45" s="195"/>
      <c r="E45" s="195"/>
      <c r="F45" s="195"/>
      <c r="G45" s="195"/>
    </row>
    <row r="46" spans="2:7" x14ac:dyDescent="0.25">
      <c r="B46" s="199" t="s">
        <v>315</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316</v>
      </c>
      <c r="C52" s="195"/>
      <c r="D52" s="195"/>
      <c r="E52" s="195"/>
      <c r="F52" s="195"/>
      <c r="G52" s="195"/>
    </row>
    <row r="53" spans="2:7" x14ac:dyDescent="0.25">
      <c r="B53" s="201"/>
      <c r="C53" s="195"/>
      <c r="D53" s="195"/>
      <c r="E53" s="195"/>
      <c r="F53" s="195"/>
      <c r="G53" s="195"/>
    </row>
    <row r="54" spans="2:7" x14ac:dyDescent="0.25">
      <c r="B54" s="199" t="s">
        <v>317</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347</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348</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147</v>
      </c>
      <c r="C90" s="195"/>
      <c r="D90" s="195"/>
      <c r="E90" s="195"/>
      <c r="F90" s="195"/>
      <c r="G90" s="195"/>
    </row>
    <row r="91" spans="2:7" ht="47.25" x14ac:dyDescent="0.25">
      <c r="B91" s="199" t="s">
        <v>318</v>
      </c>
      <c r="C91" s="195"/>
      <c r="D91" s="195"/>
      <c r="E91" s="195"/>
      <c r="F91" s="195"/>
      <c r="G91" s="195"/>
    </row>
    <row r="92" spans="2:7" x14ac:dyDescent="0.25">
      <c r="B92" s="199"/>
      <c r="C92" s="195"/>
      <c r="D92" s="195"/>
      <c r="E92" s="195"/>
      <c r="F92" s="195"/>
      <c r="G92" s="195"/>
    </row>
    <row r="93" spans="2:7" ht="47.25" x14ac:dyDescent="0.25">
      <c r="B93" s="199" t="s">
        <v>319</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326</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327</v>
      </c>
      <c r="C107" s="195"/>
      <c r="D107" s="195"/>
      <c r="E107" s="195"/>
      <c r="F107" s="195"/>
      <c r="G107" s="195"/>
    </row>
    <row r="108" spans="2:7" x14ac:dyDescent="0.25">
      <c r="B108" s="211"/>
      <c r="C108" s="195"/>
      <c r="D108" s="195"/>
      <c r="E108" s="195"/>
      <c r="F108" s="195"/>
      <c r="G108" s="195"/>
    </row>
    <row r="109" spans="2:7" x14ac:dyDescent="0.25">
      <c r="B109" s="212" t="s">
        <v>328</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329</v>
      </c>
      <c r="C130" s="195"/>
      <c r="D130" s="195"/>
      <c r="E130" s="195"/>
      <c r="F130" s="195"/>
      <c r="G130" s="195"/>
    </row>
    <row r="131" spans="2:7" x14ac:dyDescent="0.25">
      <c r="B131" s="204"/>
      <c r="C131" s="195"/>
      <c r="D131" s="195"/>
      <c r="E131" s="195"/>
      <c r="F131" s="195"/>
      <c r="G131" s="195"/>
    </row>
    <row r="132" spans="2:7" x14ac:dyDescent="0.25">
      <c r="B132" s="201" t="s">
        <v>330</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133</v>
      </c>
      <c r="C144" s="195"/>
      <c r="D144" s="195"/>
      <c r="E144" s="195"/>
      <c r="F144" s="195"/>
      <c r="G144" s="195"/>
    </row>
    <row r="145" spans="2:7" x14ac:dyDescent="0.25">
      <c r="B145" s="204"/>
      <c r="C145" s="195"/>
      <c r="D145" s="195"/>
      <c r="E145" s="195"/>
      <c r="F145" s="195"/>
      <c r="G145" s="195"/>
    </row>
    <row r="146" spans="2:7" ht="94.5" x14ac:dyDescent="0.25">
      <c r="B146" s="201" t="s">
        <v>331</v>
      </c>
      <c r="C146" s="195"/>
      <c r="D146" s="195"/>
      <c r="E146" s="195"/>
      <c r="F146" s="195"/>
      <c r="G146" s="195"/>
    </row>
    <row r="147" spans="2:7" ht="47.25" x14ac:dyDescent="0.25">
      <c r="B147" s="201" t="s">
        <v>357</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354</v>
      </c>
      <c r="C150" s="195"/>
      <c r="D150" s="195"/>
      <c r="E150" s="195"/>
      <c r="F150" s="195"/>
      <c r="G150" s="195"/>
    </row>
    <row r="151" spans="2:7" x14ac:dyDescent="0.25">
      <c r="B151" s="199"/>
      <c r="C151" s="195"/>
      <c r="D151" s="195"/>
      <c r="E151" s="195"/>
      <c r="F151" s="195"/>
      <c r="G151" s="195"/>
    </row>
    <row r="152" spans="2:7" ht="31.5" x14ac:dyDescent="0.25">
      <c r="B152" s="201" t="s">
        <v>355</v>
      </c>
      <c r="C152" s="195"/>
      <c r="D152" s="195"/>
      <c r="E152" s="195"/>
      <c r="F152" s="195"/>
      <c r="G152" s="195"/>
    </row>
    <row r="153" spans="2:7" x14ac:dyDescent="0.25">
      <c r="B153" s="199"/>
      <c r="C153" s="195"/>
      <c r="D153" s="195"/>
      <c r="E153" s="195"/>
      <c r="F153" s="195"/>
      <c r="G153" s="195"/>
    </row>
    <row r="154" spans="2:7" ht="31.5" x14ac:dyDescent="0.25">
      <c r="B154" s="201" t="s">
        <v>356</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CDDD1BF2-7147-4473-B186-680AA7EBC2A1}" scale="85" showPageBreaks="1" printArea="1" view="pageBreakPreview" topLeftCell="A151">
      <selection activeCell="B15" sqref="B15"/>
      <rowBreaks count="4" manualBreakCount="4">
        <brk id="37" max="2" man="1"/>
        <brk id="72" max="2" man="1"/>
        <brk id="89" max="2" man="1"/>
        <brk id="143" max="2" man="1"/>
      </rowBreaks>
      <pageMargins left="0.25" right="0.25" top="0.75" bottom="0.75" header="0.3" footer="0.3"/>
      <pageSetup scale="70" orientation="portrait" r:id="rId1"/>
    </customSheetView>
    <customSheetView guid="{E4FCC8BB-C0B4-400B-AC63-5FBAF2D4221B}" scale="85" showPageBreaks="1" printArea="1" view="pageBreakPreview" topLeftCell="A151">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3"/>
    </customSheetView>
    <customSheetView guid="{FEF1506F-6F82-40B0-A457-59C910FA4B02}" scale="85" showPageBreaks="1" printArea="1" view="pageBreakPreview" topLeftCell="A151">
      <selection activeCell="B15" sqref="B15"/>
      <rowBreaks count="4" manualBreakCount="4">
        <brk id="37" max="2" man="1"/>
        <brk id="72" max="2" man="1"/>
        <brk id="89" max="2" man="1"/>
        <brk id="143" max="2" man="1"/>
      </rowBreaks>
      <pageMargins left="0.25" right="0.25" top="0.75" bottom="0.75" header="0.3" footer="0.3"/>
      <pageSetup scale="70" orientation="portrait" verticalDpi="0" r:id="rId4"/>
    </customSheetView>
  </customSheetViews>
  <hyperlinks>
    <hyperlink ref="B15" r:id="rId5"/>
  </hyperlinks>
  <pageMargins left="0.25" right="0.25" top="0.75" bottom="0.75" header="0.3" footer="0.3"/>
  <pageSetup scale="70" orientation="portrait" r:id="rId6"/>
  <rowBreaks count="4" manualBreakCount="4">
    <brk id="37" max="2" man="1"/>
    <brk id="72" max="2" man="1"/>
    <brk id="89" max="2" man="1"/>
    <brk id="143" max="2" man="1"/>
  </rowBreaks>
  <drawing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303</v>
      </c>
      <c r="C1" s="195"/>
      <c r="D1" s="195"/>
      <c r="E1" s="195"/>
      <c r="F1" s="195"/>
    </row>
    <row r="2" spans="1:6" ht="23.25" x14ac:dyDescent="0.25">
      <c r="A2" s="195"/>
      <c r="B2" s="214" t="s">
        <v>334</v>
      </c>
      <c r="C2" s="195"/>
      <c r="D2" s="195"/>
      <c r="E2" s="195"/>
      <c r="F2" s="195"/>
    </row>
    <row r="3" spans="1:6" x14ac:dyDescent="0.25">
      <c r="A3" s="195"/>
      <c r="B3" s="198"/>
      <c r="C3" s="195"/>
      <c r="D3" s="195"/>
      <c r="E3" s="195"/>
      <c r="F3" s="195"/>
    </row>
    <row r="4" spans="1:6" ht="18" x14ac:dyDescent="0.25">
      <c r="A4" s="195"/>
      <c r="B4" s="197" t="s">
        <v>335</v>
      </c>
      <c r="C4" s="195"/>
      <c r="D4" s="195"/>
      <c r="E4" s="195"/>
      <c r="F4" s="195"/>
    </row>
    <row r="5" spans="1:6" x14ac:dyDescent="0.25">
      <c r="A5" s="195"/>
      <c r="B5" s="198"/>
      <c r="C5" s="195"/>
      <c r="D5" s="195"/>
      <c r="E5" s="195"/>
      <c r="F5" s="195"/>
    </row>
    <row r="6" spans="1:6" ht="63" x14ac:dyDescent="0.25">
      <c r="A6" s="195"/>
      <c r="B6" s="199" t="s">
        <v>336</v>
      </c>
      <c r="C6" s="195"/>
      <c r="D6" s="195"/>
      <c r="E6" s="195"/>
      <c r="F6" s="195"/>
    </row>
    <row r="7" spans="1:6" x14ac:dyDescent="0.25">
      <c r="A7" s="195"/>
      <c r="B7" s="199"/>
      <c r="C7" s="195"/>
      <c r="D7" s="195"/>
      <c r="E7" s="195"/>
      <c r="F7" s="195"/>
    </row>
    <row r="8" spans="1:6" ht="31.5" x14ac:dyDescent="0.25">
      <c r="A8" s="195"/>
      <c r="B8" s="199" t="s">
        <v>337</v>
      </c>
      <c r="C8" s="195"/>
      <c r="D8" s="195"/>
      <c r="E8" s="195"/>
      <c r="F8" s="195"/>
    </row>
    <row r="9" spans="1:6" x14ac:dyDescent="0.25">
      <c r="A9" s="195"/>
      <c r="B9" s="199" t="s">
        <v>308</v>
      </c>
      <c r="C9" s="195"/>
      <c r="D9" s="195"/>
      <c r="E9" s="195"/>
      <c r="F9" s="195"/>
    </row>
    <row r="10" spans="1:6" x14ac:dyDescent="0.25">
      <c r="A10" s="195"/>
      <c r="B10" s="201" t="s">
        <v>338</v>
      </c>
      <c r="C10" s="195"/>
      <c r="D10" s="195"/>
      <c r="E10" s="195"/>
      <c r="F10" s="195"/>
    </row>
    <row r="11" spans="1:6" x14ac:dyDescent="0.25">
      <c r="A11" s="195"/>
      <c r="B11" s="199"/>
      <c r="C11" s="195"/>
      <c r="D11" s="195"/>
      <c r="E11" s="195"/>
      <c r="F11" s="195"/>
    </row>
    <row r="12" spans="1:6" ht="18" x14ac:dyDescent="0.25">
      <c r="A12" s="195"/>
      <c r="B12" s="202" t="s">
        <v>309</v>
      </c>
      <c r="C12" s="195"/>
      <c r="D12" s="195"/>
      <c r="E12" s="195"/>
      <c r="F12" s="195"/>
    </row>
    <row r="13" spans="1:6" x14ac:dyDescent="0.25">
      <c r="A13" s="195"/>
      <c r="B13" s="203"/>
      <c r="C13" s="195"/>
      <c r="D13" s="195"/>
      <c r="E13" s="195"/>
      <c r="F13" s="195"/>
    </row>
    <row r="14" spans="1:6" ht="37.5" customHeight="1" x14ac:dyDescent="0.25">
      <c r="A14" s="195"/>
      <c r="B14" s="231" t="s">
        <v>361</v>
      </c>
      <c r="C14" s="195"/>
      <c r="D14" s="195"/>
      <c r="E14" s="195"/>
      <c r="F14" s="195"/>
    </row>
    <row r="15" spans="1:6" x14ac:dyDescent="0.25">
      <c r="A15" s="195"/>
      <c r="B15" s="203"/>
      <c r="C15" s="195"/>
      <c r="D15" s="195"/>
      <c r="E15" s="195"/>
      <c r="F15" s="195"/>
    </row>
    <row r="16" spans="1:6" ht="18" x14ac:dyDescent="0.25">
      <c r="A16" s="195"/>
      <c r="B16" s="202" t="s">
        <v>310</v>
      </c>
      <c r="C16" s="195"/>
      <c r="D16" s="195"/>
      <c r="E16" s="195"/>
      <c r="F16" s="195"/>
    </row>
    <row r="17" spans="1:6" x14ac:dyDescent="0.25">
      <c r="A17" s="195"/>
      <c r="B17" s="204"/>
      <c r="C17" s="195"/>
      <c r="D17" s="195"/>
      <c r="E17" s="195"/>
      <c r="F17" s="195"/>
    </row>
    <row r="18" spans="1:6" x14ac:dyDescent="0.25">
      <c r="A18" s="195"/>
      <c r="B18" s="205" t="s">
        <v>196</v>
      </c>
      <c r="C18" s="195"/>
      <c r="D18" s="195"/>
      <c r="E18" s="195"/>
      <c r="F18" s="195"/>
    </row>
    <row r="19" spans="1:6" x14ac:dyDescent="0.25">
      <c r="A19" s="195"/>
      <c r="B19" s="204"/>
      <c r="C19" s="195"/>
      <c r="D19" s="195"/>
      <c r="E19" s="195"/>
      <c r="F19" s="195"/>
    </row>
    <row r="20" spans="1:6" x14ac:dyDescent="0.25">
      <c r="A20" s="195"/>
      <c r="B20" s="199" t="s">
        <v>314</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339</v>
      </c>
      <c r="C28" s="195"/>
      <c r="D28" s="195"/>
      <c r="E28" s="195"/>
      <c r="F28" s="195"/>
    </row>
    <row r="29" spans="1:6" x14ac:dyDescent="0.25">
      <c r="A29" s="195"/>
      <c r="B29" s="201"/>
      <c r="C29" s="195"/>
      <c r="D29" s="195"/>
      <c r="E29" s="195"/>
      <c r="F29" s="195"/>
    </row>
    <row r="30" spans="1:6" x14ac:dyDescent="0.25">
      <c r="A30" s="195"/>
      <c r="B30" s="205" t="s">
        <v>206</v>
      </c>
      <c r="C30" s="195"/>
      <c r="D30" s="195"/>
      <c r="E30" s="195"/>
      <c r="F30" s="195"/>
    </row>
    <row r="31" spans="1:6" x14ac:dyDescent="0.25">
      <c r="A31" s="195"/>
      <c r="B31" s="204"/>
      <c r="C31" s="195"/>
      <c r="D31" s="195"/>
      <c r="E31" s="195"/>
      <c r="F31" s="195"/>
    </row>
    <row r="32" spans="1:6" ht="31.5" x14ac:dyDescent="0.25">
      <c r="A32" s="195"/>
      <c r="B32" s="199" t="s">
        <v>340</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341</v>
      </c>
      <c r="C45" s="195"/>
      <c r="D45" s="195"/>
      <c r="E45" s="195"/>
      <c r="F45" s="195"/>
    </row>
    <row r="46" spans="1:6" x14ac:dyDescent="0.25">
      <c r="A46" s="195"/>
      <c r="B46" s="204"/>
      <c r="C46" s="195"/>
      <c r="D46" s="195"/>
      <c r="E46" s="195"/>
      <c r="F46" s="195"/>
    </row>
    <row r="47" spans="1:6" ht="31.5" x14ac:dyDescent="0.25">
      <c r="A47" s="195"/>
      <c r="B47" s="199" t="s">
        <v>342</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CDDD1BF2-7147-4473-B186-680AA7EBC2A1}" scale="80" showPageBreaks="1" printArea="1" view="pageBreakPreview">
      <selection activeCell="G20" sqref="G20"/>
      <pageMargins left="0.7" right="0.7" top="0.75" bottom="0.75" header="0.3" footer="0.3"/>
      <pageSetup scale="62" orientation="portrait" r:id="rId1"/>
    </customSheetView>
    <customSheetView guid="{E4FCC8BB-C0B4-400B-AC63-5FBAF2D4221B}" scale="80" showPageBreaks="1" printArea="1" view="pageBreakPreview">
      <selection activeCell="G20" sqref="G20"/>
      <pageMargins left="0.7" right="0.7" top="0.75" bottom="0.75" header="0.3" footer="0.3"/>
      <pageSetup scale="62" orientation="portrait" verticalDpi="0" r:id="rId2"/>
    </customSheetView>
    <customSheetView guid="{A57ED495-A8F1-41AA-920B-D492B709C260}" scale="80" showPageBreaks="1" printArea="1" view="pageBreakPreview">
      <selection activeCell="G20" sqref="G20"/>
      <pageMargins left="0.7" right="0.7" top="0.75" bottom="0.75" header="0.3" footer="0.3"/>
      <pageSetup scale="62" orientation="portrait" verticalDpi="0" r:id="rId3"/>
    </customSheetView>
    <customSheetView guid="{FEF1506F-6F82-40B0-A457-59C910FA4B02}" scale="80" showPageBreaks="1" printArea="1" view="pageBreakPreview">
      <selection activeCell="G20" sqref="G20"/>
      <pageMargins left="0.7" right="0.7" top="0.75" bottom="0.75" header="0.3" footer="0.3"/>
      <pageSetup scale="62" orientation="portrait" verticalDpi="0" r:id="rId4"/>
    </customSheetView>
  </customSheetViews>
  <hyperlinks>
    <hyperlink ref="B14" r:id="rId5"/>
  </hyperlinks>
  <pageMargins left="0.7" right="0.7" top="0.75" bottom="0.75" header="0.3" footer="0.3"/>
  <pageSetup scale="62" orientation="portrait" r:id="rId6"/>
  <drawing r:id="rId7"/>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74" t="s">
        <v>194</v>
      </c>
      <c r="C1" s="275"/>
      <c r="D1" s="312" t="s">
        <v>165</v>
      </c>
      <c r="E1" s="313"/>
      <c r="F1" s="313"/>
      <c r="G1" s="313"/>
      <c r="H1" s="314"/>
      <c r="I1" s="97" t="s">
        <v>115</v>
      </c>
      <c r="J1" s="98">
        <v>43282</v>
      </c>
      <c r="K1" s="42"/>
      <c r="L1" s="42"/>
      <c r="M1" s="42"/>
      <c r="N1" s="42"/>
      <c r="O1" s="42"/>
      <c r="P1" s="42"/>
      <c r="Q1" s="42"/>
      <c r="R1" s="42"/>
      <c r="S1" s="42"/>
      <c r="T1" s="42"/>
      <c r="U1" s="42"/>
      <c r="V1" s="42"/>
    </row>
    <row r="2" spans="1:25" ht="18.75" customHeight="1" thickTop="1" thickBot="1" x14ac:dyDescent="0.35">
      <c r="A2" s="45"/>
      <c r="B2" s="315" t="str">
        <f>'FY19 Project Request '!B2:C2</f>
        <v>19GOT_TS2</v>
      </c>
      <c r="C2" s="316"/>
      <c r="D2" s="263" t="s">
        <v>118</v>
      </c>
      <c r="E2" s="264"/>
      <c r="F2" s="264"/>
      <c r="G2" s="264"/>
      <c r="H2" s="264"/>
      <c r="I2" s="360" t="s">
        <v>103</v>
      </c>
      <c r="J2" s="361"/>
      <c r="K2" s="42"/>
      <c r="L2" s="42"/>
      <c r="M2" s="42"/>
      <c r="N2" s="42"/>
      <c r="O2" s="42"/>
      <c r="P2" s="42"/>
      <c r="Q2" s="42"/>
      <c r="R2" s="42"/>
      <c r="S2" s="42"/>
      <c r="T2" s="42"/>
      <c r="U2" s="42"/>
      <c r="V2" s="42"/>
    </row>
    <row r="3" spans="1:25" ht="17.25" customHeight="1" x14ac:dyDescent="0.3">
      <c r="A3" s="45"/>
      <c r="B3" s="317" t="s">
        <v>231</v>
      </c>
      <c r="C3" s="318"/>
      <c r="D3" s="263" t="s">
        <v>195</v>
      </c>
      <c r="E3" s="263"/>
      <c r="F3" s="263"/>
      <c r="G3" s="263"/>
      <c r="H3" s="263"/>
      <c r="I3" s="43">
        <v>43281</v>
      </c>
      <c r="J3" s="52"/>
      <c r="K3" s="42"/>
      <c r="L3" s="42"/>
      <c r="M3" s="42"/>
      <c r="N3" s="42"/>
      <c r="O3" s="42"/>
      <c r="P3" s="42"/>
      <c r="Q3" s="42"/>
      <c r="R3" s="42"/>
      <c r="S3" s="42"/>
      <c r="T3" s="42"/>
      <c r="U3" s="42"/>
      <c r="V3" s="42"/>
    </row>
    <row r="4" spans="1:25" ht="17.25" x14ac:dyDescent="0.3">
      <c r="A4" s="45"/>
      <c r="B4" s="319"/>
      <c r="C4" s="320"/>
      <c r="D4" s="268"/>
      <c r="E4" s="263"/>
      <c r="F4" s="263"/>
      <c r="G4" s="263"/>
      <c r="H4" s="263"/>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0" t="s">
        <v>34</v>
      </c>
      <c r="C9" s="311"/>
      <c r="D9" s="310" t="s">
        <v>35</v>
      </c>
      <c r="E9" s="311"/>
      <c r="F9" s="310" t="s">
        <v>36</v>
      </c>
      <c r="G9" s="343"/>
      <c r="H9" s="311"/>
      <c r="I9" s="310" t="s">
        <v>112</v>
      </c>
      <c r="J9" s="311"/>
      <c r="K9" s="42"/>
      <c r="L9" s="42"/>
      <c r="M9" s="42"/>
      <c r="N9" s="42"/>
      <c r="O9" s="42"/>
      <c r="P9" s="42"/>
      <c r="Q9" s="42"/>
      <c r="R9" s="42"/>
      <c r="S9" s="42"/>
      <c r="T9" s="42"/>
      <c r="U9" s="42"/>
      <c r="V9" s="42"/>
    </row>
    <row r="10" spans="1:25" ht="18" customHeight="1" x14ac:dyDescent="0.25">
      <c r="A10" s="45"/>
      <c r="B10" s="336" t="str">
        <f>Project_Name</f>
        <v>Durham-Raleigh Express, Additional Frequency</v>
      </c>
      <c r="C10" s="337"/>
      <c r="D10" s="336" t="str">
        <f>Requesting_Agency</f>
        <v>GoTriangle</v>
      </c>
      <c r="E10" s="337"/>
      <c r="F10" s="375" t="str">
        <f>'FY19 Project Request '!F11:H11</f>
        <v>Erik Landfried</v>
      </c>
      <c r="G10" s="376"/>
      <c r="H10" s="377"/>
      <c r="I10" s="139" t="s">
        <v>87</v>
      </c>
      <c r="J10" s="140">
        <f>'FY19 Project Request '!J11</f>
        <v>121853.6</v>
      </c>
      <c r="K10" s="42"/>
      <c r="L10" s="42"/>
      <c r="M10" s="42"/>
      <c r="N10" s="42"/>
      <c r="O10" s="42"/>
      <c r="P10" s="42"/>
      <c r="Q10" s="42"/>
      <c r="R10" s="42"/>
      <c r="S10" s="42"/>
      <c r="T10" s="42"/>
      <c r="U10" s="42"/>
      <c r="V10" s="42"/>
    </row>
    <row r="11" spans="1:25" ht="18" customHeight="1" x14ac:dyDescent="0.25">
      <c r="A11" s="45"/>
      <c r="B11" s="338"/>
      <c r="C11" s="339"/>
      <c r="D11" s="338"/>
      <c r="E11" s="339"/>
      <c r="F11" s="375" t="str">
        <f>'FY19 Project Request '!F12:H12</f>
        <v>elandfried@gotriangle.org</v>
      </c>
      <c r="G11" s="376"/>
      <c r="H11" s="377"/>
      <c r="I11" s="139" t="s">
        <v>96</v>
      </c>
      <c r="J11" s="140">
        <f>'FY19 Project Request '!J12</f>
        <v>781111.375</v>
      </c>
      <c r="K11" s="42"/>
      <c r="L11" s="42"/>
      <c r="M11" s="42"/>
      <c r="N11" s="42"/>
      <c r="O11" s="42"/>
      <c r="P11" s="42"/>
      <c r="Q11" s="42"/>
      <c r="R11" s="42"/>
      <c r="S11" s="42"/>
      <c r="T11" s="42"/>
      <c r="U11" s="42"/>
      <c r="V11" s="42"/>
    </row>
    <row r="12" spans="1:25" x14ac:dyDescent="0.25">
      <c r="A12" s="45"/>
      <c r="B12" s="310" t="s">
        <v>39</v>
      </c>
      <c r="C12" s="311"/>
      <c r="D12" s="310" t="s">
        <v>40</v>
      </c>
      <c r="E12" s="311"/>
      <c r="F12" s="310" t="s">
        <v>97</v>
      </c>
      <c r="G12" s="343"/>
      <c r="H12" s="311"/>
      <c r="I12" s="310" t="s">
        <v>113</v>
      </c>
      <c r="J12" s="311"/>
      <c r="K12" s="42"/>
      <c r="L12" s="42"/>
      <c r="M12" s="42"/>
      <c r="N12" s="42"/>
      <c r="O12" s="42"/>
      <c r="P12" s="42"/>
      <c r="Q12" s="42"/>
      <c r="R12" s="42"/>
      <c r="S12" s="42"/>
      <c r="T12" s="42"/>
      <c r="U12" s="42"/>
      <c r="V12" s="42"/>
    </row>
    <row r="13" spans="1:25" ht="15.75" customHeight="1" x14ac:dyDescent="0.25">
      <c r="A13" s="45"/>
      <c r="B13" s="321">
        <f>Start_Date</f>
        <v>43318</v>
      </c>
      <c r="C13" s="322"/>
      <c r="D13" s="321" t="str">
        <f>End_Date</f>
        <v>N/A</v>
      </c>
      <c r="E13" s="322"/>
      <c r="F13" s="325" t="str">
        <f>Added_notes_as_appropriate</f>
        <v>(Add notes as appropriate)</v>
      </c>
      <c r="G13" s="326"/>
      <c r="H13" s="327"/>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23"/>
      <c r="C14" s="324"/>
      <c r="D14" s="323"/>
      <c r="E14" s="324"/>
      <c r="F14" s="328"/>
      <c r="G14" s="329"/>
      <c r="H14" s="330"/>
      <c r="I14" s="186" t="s">
        <v>96</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31" t="s">
        <v>90</v>
      </c>
      <c r="C15" s="332"/>
      <c r="D15" s="333"/>
      <c r="E15" s="334"/>
      <c r="F15" s="334"/>
      <c r="G15" s="334"/>
      <c r="H15" s="334"/>
      <c r="I15" s="334"/>
      <c r="J15" s="335"/>
      <c r="K15" s="42"/>
      <c r="L15" s="42"/>
      <c r="M15" s="42"/>
      <c r="N15" s="42"/>
      <c r="O15" s="42"/>
      <c r="P15" s="42"/>
      <c r="Q15" s="42"/>
      <c r="R15" s="42"/>
      <c r="S15" s="42"/>
      <c r="T15" s="42"/>
      <c r="U15" s="42"/>
      <c r="V15" s="42"/>
      <c r="W15" s="37" t="b">
        <v>0</v>
      </c>
    </row>
    <row r="16" spans="1:25" ht="102.75" customHeight="1" x14ac:dyDescent="0.25">
      <c r="A16" s="45"/>
      <c r="B16" s="368" t="str">
        <f>'FY19 Project Request '!B17:J17</f>
        <v>Route DRX would have additional time and trips added, to provide service every 30 minutes or better during AM and PM peak periods. (The "or better" is likely to take the form of 15-20 minute frequencies during the highest-ridership hour of the day.) Currently, frequencies vary between 30 and 45 minutes, which leads to vehicle crowding.
Durham County revenues from the Tax District currently contribute 2.12 revenue hours per day to the route. This project would add 5.50 revenue hours per day, for a total Durham County contribution of 7.62 revenue hours per day. A parallel Wake County contribution would add up to 7.62 revenue hours per day.</v>
      </c>
      <c r="C16" s="369"/>
      <c r="D16" s="369"/>
      <c r="E16" s="369"/>
      <c r="F16" s="369"/>
      <c r="G16" s="369"/>
      <c r="H16" s="370"/>
      <c r="I16" s="370"/>
      <c r="J16" s="371"/>
      <c r="K16" s="42"/>
      <c r="L16" s="42"/>
      <c r="M16" s="42"/>
      <c r="N16" s="42"/>
      <c r="O16" s="42"/>
      <c r="P16" s="42"/>
      <c r="Q16" s="42"/>
      <c r="R16" s="42"/>
      <c r="S16" s="42"/>
      <c r="T16" s="42"/>
      <c r="U16" s="42"/>
      <c r="V16" s="42"/>
      <c r="X16" s="159"/>
      <c r="Y16" s="159" t="b">
        <v>1</v>
      </c>
    </row>
    <row r="17" spans="1:28" ht="20.25" customHeight="1" x14ac:dyDescent="0.25">
      <c r="A17" s="45"/>
      <c r="B17" s="349" t="s">
        <v>229</v>
      </c>
      <c r="C17" s="349"/>
      <c r="D17" s="349"/>
      <c r="E17" s="146" t="str">
        <f>IF('FY19 Project Request '!X35,"YES",IF('FY19 Project Request '!X36,"NO",))</f>
        <v>YES</v>
      </c>
      <c r="F17" s="353"/>
      <c r="G17" s="354"/>
      <c r="H17" s="350"/>
      <c r="I17" s="351"/>
      <c r="J17" s="352"/>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4" t="str">
        <f>'FY19 Project Request '!B22:C22</f>
        <v>From Duke &amp; VA Hospitals to GoRaleigh Station via NC-147, I-40, Wade Ave, and Hillsborough St.</v>
      </c>
      <c r="C21" s="374"/>
      <c r="D21" s="374" t="str">
        <f>'FY19 Project Request '!D22:F22</f>
        <v>Triangle residents who commute between Raleigh and Durham, in either direction.</v>
      </c>
      <c r="E21" s="374"/>
      <c r="F21" s="374"/>
      <c r="G21" s="374" t="str">
        <f>'FY19 Project Request '!G22:J22</f>
        <v>Additional frequency, reduced crowding, and improved reliability.</v>
      </c>
      <c r="H21" s="374"/>
      <c r="I21" s="374"/>
      <c r="J21" s="374"/>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196</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4" t="s">
        <v>200</v>
      </c>
      <c r="C27" s="254"/>
      <c r="D27" s="254"/>
      <c r="E27" s="254"/>
      <c r="F27" s="254"/>
      <c r="G27" s="254"/>
      <c r="H27" s="254"/>
      <c r="I27" s="254"/>
      <c r="J27" s="254"/>
      <c r="K27" s="42"/>
      <c r="L27" s="42"/>
      <c r="M27" s="42"/>
      <c r="N27" s="42"/>
      <c r="O27" s="42"/>
      <c r="P27" s="42"/>
      <c r="Q27" s="42"/>
      <c r="R27" s="42"/>
      <c r="S27" s="42"/>
      <c r="T27" s="42"/>
      <c r="U27" s="42"/>
      <c r="V27" s="42"/>
    </row>
    <row r="28" spans="1:28" s="40" customFormat="1" x14ac:dyDescent="0.25">
      <c r="A28" s="76"/>
      <c r="C28" s="310" t="s">
        <v>201</v>
      </c>
      <c r="D28" s="343"/>
      <c r="E28" s="311"/>
      <c r="F28" s="185" t="s">
        <v>202</v>
      </c>
      <c r="G28" s="185" t="s">
        <v>203</v>
      </c>
      <c r="H28" s="185" t="s">
        <v>204</v>
      </c>
      <c r="I28" s="185" t="s">
        <v>205</v>
      </c>
      <c r="J28" s="44"/>
      <c r="K28" s="44"/>
      <c r="L28" s="44"/>
      <c r="M28" s="44"/>
      <c r="N28" s="44"/>
      <c r="O28" s="44"/>
      <c r="P28" s="44"/>
      <c r="Q28" s="44"/>
      <c r="R28" s="44"/>
      <c r="S28" s="44"/>
      <c r="T28" s="44"/>
      <c r="U28" s="44"/>
      <c r="V28" s="44"/>
    </row>
    <row r="29" spans="1:28" ht="21" customHeight="1" x14ac:dyDescent="0.25">
      <c r="A29" s="74"/>
      <c r="B29" s="59" t="s">
        <v>92</v>
      </c>
      <c r="C29" s="341" t="str">
        <f>KPI_a</f>
        <v>TS-Average Daily RidershipThe average number of riders on Routes DRX each weekday.</v>
      </c>
      <c r="D29" s="342"/>
      <c r="E29" s="342"/>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41" t="str">
        <f>KPI_b</f>
        <v>TS-Passengers per HourThe number of passenger trips provided per revenue hour by Routes DRX.</v>
      </c>
      <c r="D30" s="342"/>
      <c r="E30" s="342"/>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41" t="str">
        <f>KPI_c</f>
        <v>TS-Revenue Hours of Service ProvidedThe total number of revenue hours provided through this Tax District investment.</v>
      </c>
      <c r="D31" s="342"/>
      <c r="E31" s="342"/>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2" t="s">
        <v>202</v>
      </c>
      <c r="C36" s="373"/>
      <c r="D36" s="372" t="s">
        <v>203</v>
      </c>
      <c r="E36" s="373"/>
      <c r="F36" s="372" t="s">
        <v>204</v>
      </c>
      <c r="G36" s="373"/>
      <c r="H36" s="372" t="s">
        <v>205</v>
      </c>
      <c r="I36" s="373"/>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66"/>
      <c r="C37" s="367"/>
      <c r="D37" s="366"/>
      <c r="E37" s="367"/>
      <c r="F37" s="366"/>
      <c r="G37" s="367"/>
      <c r="H37" s="366"/>
      <c r="I37" s="367"/>
      <c r="J37" s="42"/>
      <c r="K37" s="42"/>
      <c r="L37" s="42"/>
      <c r="M37" s="42"/>
      <c r="N37" s="42"/>
      <c r="O37" s="42"/>
      <c r="P37" s="42"/>
      <c r="Q37" s="42"/>
      <c r="R37" s="42"/>
      <c r="S37" s="42"/>
      <c r="T37" s="42"/>
      <c r="U37" s="42"/>
      <c r="V37" s="42"/>
      <c r="W37" s="42"/>
      <c r="X37" s="42"/>
      <c r="Y37" s="42"/>
      <c r="Z37" s="147"/>
    </row>
    <row r="38" spans="1:26" ht="15.75" thickBot="1" x14ac:dyDescent="0.3">
      <c r="A38" s="53"/>
      <c r="B38" s="308" t="s">
        <v>207</v>
      </c>
      <c r="C38" s="309"/>
      <c r="D38" s="308" t="s">
        <v>207</v>
      </c>
      <c r="E38" s="309"/>
      <c r="F38" s="308" t="s">
        <v>207</v>
      </c>
      <c r="G38" s="309"/>
      <c r="H38" s="308" t="s">
        <v>207</v>
      </c>
      <c r="I38" s="309"/>
      <c r="J38" s="53"/>
      <c r="K38" s="42"/>
      <c r="L38" s="42"/>
      <c r="M38" s="42"/>
      <c r="N38" s="42"/>
      <c r="O38" s="42"/>
      <c r="P38" s="42"/>
      <c r="Q38" s="42"/>
      <c r="R38" s="42"/>
      <c r="S38" s="42"/>
      <c r="T38" s="42"/>
      <c r="U38" s="42"/>
      <c r="V38" s="42"/>
    </row>
    <row r="39" spans="1:26" ht="15.75" thickTop="1" x14ac:dyDescent="0.25">
      <c r="A39" s="45"/>
      <c r="B39" s="366"/>
      <c r="C39" s="367"/>
      <c r="D39" s="366"/>
      <c r="E39" s="367"/>
      <c r="F39" s="366"/>
      <c r="G39" s="367"/>
      <c r="H39" s="366"/>
      <c r="I39" s="367"/>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237</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215</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208</v>
      </c>
      <c r="C47" s="150"/>
      <c r="D47" s="153">
        <v>858348</v>
      </c>
      <c r="E47" s="173">
        <f>D48-D47</f>
        <v>-446707.99999999994</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260</v>
      </c>
      <c r="C48" s="150"/>
      <c r="D48" s="154">
        <f>'FY19 Project Request '!E128</f>
        <v>411640.00000000006</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214</v>
      </c>
      <c r="C49" s="170"/>
      <c r="D49" s="152">
        <f>IFERROR(D47/D48,0)</f>
        <v>2.0851909435429015</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215</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56" t="s">
        <v>209</v>
      </c>
      <c r="C56" s="256"/>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56" t="s">
        <v>259</v>
      </c>
      <c r="C57" s="256"/>
      <c r="D57" s="154">
        <f>'FY19 Project Request '!E140</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214</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CDDD1BF2-7147-4473-B186-680AA7EBC2A1}" scale="67"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E4FCC8BB-C0B4-400B-AC63-5FBAF2D4221B}" scale="67" showPageBreaks="1" printArea="1"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tate="hidden">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FEF1506F-6F82-40B0-A457-59C910FA4B02}" scale="67" state="hidden">
      <selection activeCell="B16" sqref="B16:J16"/>
      <pageMargins left="0.25" right="0.25" top="0.75" bottom="0.75" header="0.3" footer="0.3"/>
      <printOptions horizontalCentered="1"/>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5" display="elandfried@gotriangle.org "/>
    <hyperlink ref="F10" r:id="rId6" display="elandfried@gotriangle.org "/>
  </hyperlinks>
  <printOptions horizontalCentered="1"/>
  <pageMargins left="0.25" right="0.25" top="0.75" bottom="0.75" header="0.3" footer="0.3"/>
  <pageSetup scale="50" fitToHeight="4" orientation="portrait" r:id="rId7"/>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8"/>
  <legacyDrawing r:id="rId9"/>
  <mc:AlternateContent xmlns:mc="http://schemas.openxmlformats.org/markup-compatibility/2006">
    <mc:Choice Requires="x14">
      <controls>
        <mc:AlternateContent xmlns:mc="http://schemas.openxmlformats.org/markup-compatibility/2006">
          <mc:Choice Requires="x14">
            <control shapeId="12289" r:id="rId10"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11"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2"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93" t="s">
        <v>165</v>
      </c>
      <c r="C1" s="394"/>
      <c r="D1" s="394"/>
      <c r="E1" s="394"/>
      <c r="F1" s="394"/>
      <c r="G1" s="394"/>
      <c r="H1" s="394"/>
      <c r="I1" s="394"/>
      <c r="J1" s="394"/>
      <c r="K1" s="394"/>
      <c r="O1" s="101"/>
      <c r="P1" s="101"/>
    </row>
    <row r="2" spans="2:16" s="104" customFormat="1" ht="31.5" x14ac:dyDescent="0.3">
      <c r="B2" s="395" t="s">
        <v>118</v>
      </c>
      <c r="C2" s="395"/>
      <c r="D2" s="395"/>
      <c r="E2" s="395"/>
      <c r="F2" s="395"/>
      <c r="G2" s="395"/>
      <c r="H2" s="395"/>
      <c r="I2" s="395"/>
      <c r="J2" s="395"/>
      <c r="K2" s="395"/>
      <c r="O2" s="105"/>
      <c r="P2" s="105"/>
    </row>
    <row r="3" spans="2:16" s="104" customFormat="1" ht="21" customHeight="1" x14ac:dyDescent="0.2">
      <c r="D3" s="106"/>
      <c r="E3" s="106"/>
      <c r="G3" s="396"/>
      <c r="H3" s="396"/>
      <c r="I3" s="103"/>
      <c r="J3" s="103"/>
      <c r="O3" s="105"/>
      <c r="P3" s="105"/>
    </row>
    <row r="4" spans="2:16" ht="21" customHeight="1" x14ac:dyDescent="0.25">
      <c r="D4" s="106"/>
      <c r="E4" s="106"/>
      <c r="F4" s="102"/>
      <c r="G4" s="397"/>
      <c r="H4" s="397"/>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166</v>
      </c>
      <c r="J6" s="99"/>
    </row>
    <row r="7" spans="2:16" ht="21" customHeight="1" x14ac:dyDescent="0.25">
      <c r="D7" s="142" t="s">
        <v>167</v>
      </c>
      <c r="E7" s="143"/>
      <c r="H7" s="134"/>
      <c r="I7" s="398" t="s">
        <v>168</v>
      </c>
      <c r="J7" s="398"/>
      <c r="K7" s="109"/>
      <c r="L7" s="109"/>
      <c r="M7" s="109"/>
      <c r="O7" s="109"/>
      <c r="P7" s="109"/>
    </row>
    <row r="8" spans="2:16" ht="21" customHeight="1" x14ac:dyDescent="0.2">
      <c r="D8" s="381" t="s">
        <v>193</v>
      </c>
      <c r="E8" s="381"/>
      <c r="H8" s="135"/>
      <c r="I8" s="378" t="s">
        <v>169</v>
      </c>
      <c r="J8" s="379"/>
      <c r="K8" s="109"/>
      <c r="L8" s="109"/>
      <c r="M8" s="109"/>
      <c r="O8" s="109"/>
      <c r="P8" s="109"/>
    </row>
    <row r="9" spans="2:16" ht="21" customHeight="1" x14ac:dyDescent="0.2">
      <c r="D9" s="390" t="s">
        <v>170</v>
      </c>
      <c r="E9" s="390"/>
      <c r="H9" s="135"/>
      <c r="I9" s="378" t="s">
        <v>171</v>
      </c>
      <c r="J9" s="379"/>
      <c r="K9" s="109"/>
      <c r="L9" s="109"/>
      <c r="M9" s="109"/>
      <c r="O9" s="110"/>
      <c r="P9" s="110"/>
    </row>
    <row r="10" spans="2:16" ht="21" customHeight="1" x14ac:dyDescent="0.2">
      <c r="D10" s="390" t="s">
        <v>172</v>
      </c>
      <c r="E10" s="390"/>
      <c r="H10" s="135"/>
      <c r="I10" s="378" t="s">
        <v>173</v>
      </c>
      <c r="J10" s="379"/>
      <c r="K10" s="109"/>
      <c r="L10" s="109"/>
      <c r="M10" s="109"/>
      <c r="O10" s="110"/>
      <c r="P10" s="110"/>
    </row>
    <row r="11" spans="2:16" ht="21" customHeight="1" x14ac:dyDescent="0.2">
      <c r="D11" s="390" t="s">
        <v>174</v>
      </c>
      <c r="E11" s="390"/>
      <c r="H11" s="135"/>
      <c r="I11" s="378" t="s">
        <v>175</v>
      </c>
      <c r="J11" s="379"/>
      <c r="K11" s="109"/>
      <c r="L11" s="109"/>
      <c r="M11" s="109"/>
      <c r="O11" s="110"/>
      <c r="P11" s="110"/>
    </row>
    <row r="12" spans="2:16" ht="21" customHeight="1" x14ac:dyDescent="0.2">
      <c r="D12" s="401" t="s">
        <v>176</v>
      </c>
      <c r="E12" s="402"/>
      <c r="H12" s="135"/>
      <c r="I12" s="378" t="s">
        <v>177</v>
      </c>
      <c r="J12" s="379"/>
      <c r="K12" s="109"/>
      <c r="L12" s="109"/>
      <c r="M12" s="109"/>
      <c r="O12" s="110"/>
      <c r="P12" s="110"/>
    </row>
    <row r="13" spans="2:16" ht="21" customHeight="1" x14ac:dyDescent="0.2">
      <c r="D13" s="144" t="s">
        <v>178</v>
      </c>
      <c r="E13" s="145"/>
      <c r="H13" s="136"/>
      <c r="I13" s="378" t="s">
        <v>179</v>
      </c>
      <c r="J13" s="379"/>
      <c r="K13" s="109"/>
      <c r="L13" s="109"/>
      <c r="M13" s="109"/>
      <c r="O13" s="111"/>
      <c r="P13" s="111"/>
    </row>
    <row r="14" spans="2:16" ht="21" customHeight="1" x14ac:dyDescent="0.2">
      <c r="D14" s="405" t="s">
        <v>180</v>
      </c>
      <c r="E14" s="405"/>
      <c r="H14" s="137"/>
      <c r="I14" s="378" t="s">
        <v>181</v>
      </c>
      <c r="J14" s="379"/>
    </row>
    <row r="15" spans="2:16" ht="33.6" customHeight="1" x14ac:dyDescent="0.2"/>
    <row r="16" spans="2:16" s="113" customFormat="1" ht="51" customHeight="1" thickBot="1" x14ac:dyDescent="0.3">
      <c r="B16" s="133" t="s">
        <v>198</v>
      </c>
      <c r="C16" s="403" t="s">
        <v>186</v>
      </c>
      <c r="D16" s="404"/>
      <c r="E16" s="133" t="s">
        <v>182</v>
      </c>
      <c r="F16" s="133" t="s">
        <v>183</v>
      </c>
      <c r="G16" s="133" t="s">
        <v>187</v>
      </c>
      <c r="H16" s="133" t="s">
        <v>184</v>
      </c>
      <c r="I16" s="133" t="s">
        <v>188</v>
      </c>
      <c r="J16" s="133" t="s">
        <v>189</v>
      </c>
      <c r="K16" s="138" t="s">
        <v>190</v>
      </c>
    </row>
    <row r="17" spans="2:11" s="115" customFormat="1" ht="25.15" customHeight="1" thickTop="1" x14ac:dyDescent="0.25">
      <c r="B17" s="87"/>
      <c r="C17" s="386"/>
      <c r="D17" s="387"/>
      <c r="E17" s="87"/>
      <c r="F17" s="87"/>
      <c r="G17" s="87"/>
      <c r="H17" s="87"/>
      <c r="I17" s="87"/>
      <c r="J17" s="87"/>
      <c r="K17" s="65">
        <f>J17*G17</f>
        <v>0</v>
      </c>
    </row>
    <row r="18" spans="2:11" s="115" customFormat="1" ht="25.15" customHeight="1" x14ac:dyDescent="0.25">
      <c r="B18" s="87"/>
      <c r="C18" s="386"/>
      <c r="D18" s="387"/>
      <c r="E18" s="87"/>
      <c r="F18" s="87"/>
      <c r="G18" s="87"/>
      <c r="H18" s="87"/>
      <c r="I18" s="87"/>
      <c r="J18" s="87"/>
      <c r="K18" s="65">
        <f t="shared" ref="K18:K21" si="0">J18*G18</f>
        <v>0</v>
      </c>
    </row>
    <row r="19" spans="2:11" s="115" customFormat="1" ht="25.15" customHeight="1" x14ac:dyDescent="0.25">
      <c r="B19" s="87"/>
      <c r="C19" s="386"/>
      <c r="D19" s="387"/>
      <c r="E19" s="87"/>
      <c r="F19" s="87"/>
      <c r="G19" s="87"/>
      <c r="H19" s="87"/>
      <c r="I19" s="87"/>
      <c r="J19" s="87"/>
      <c r="K19" s="65">
        <f t="shared" si="0"/>
        <v>0</v>
      </c>
    </row>
    <row r="20" spans="2:11" s="115" customFormat="1" ht="25.15" customHeight="1" x14ac:dyDescent="0.25">
      <c r="B20" s="87"/>
      <c r="C20" s="386"/>
      <c r="D20" s="387"/>
      <c r="E20" s="87"/>
      <c r="F20" s="87"/>
      <c r="G20" s="87"/>
      <c r="H20" s="87"/>
      <c r="I20" s="87"/>
      <c r="J20" s="87"/>
      <c r="K20" s="65">
        <f t="shared" si="0"/>
        <v>0</v>
      </c>
    </row>
    <row r="21" spans="2:11" s="115" customFormat="1" ht="25.15" customHeight="1" x14ac:dyDescent="0.25">
      <c r="B21" s="87"/>
      <c r="C21" s="386"/>
      <c r="D21" s="387"/>
      <c r="E21" s="87"/>
      <c r="F21" s="87"/>
      <c r="G21" s="87"/>
      <c r="H21" s="87"/>
      <c r="I21" s="87"/>
      <c r="J21" s="87"/>
      <c r="K21" s="65">
        <f t="shared" si="0"/>
        <v>0</v>
      </c>
    </row>
    <row r="22" spans="2:11" s="115" customFormat="1" ht="39.6" hidden="1" customHeight="1" x14ac:dyDescent="0.25">
      <c r="C22" s="388" t="s">
        <v>185</v>
      </c>
      <c r="D22" s="389"/>
      <c r="E22" s="112" t="s">
        <v>182</v>
      </c>
      <c r="F22" s="112" t="s">
        <v>183</v>
      </c>
      <c r="G22" s="116"/>
      <c r="H22" s="117"/>
      <c r="I22" s="117"/>
      <c r="J22" s="117"/>
      <c r="K22" s="65"/>
    </row>
    <row r="23" spans="2:11" s="115" customFormat="1" ht="25.15" hidden="1" customHeight="1" x14ac:dyDescent="0.25">
      <c r="C23" s="382" t="s">
        <v>191</v>
      </c>
      <c r="D23" s="383"/>
      <c r="E23" s="118">
        <v>41640</v>
      </c>
      <c r="F23" s="114">
        <v>41820</v>
      </c>
      <c r="G23" s="119"/>
      <c r="H23" s="120"/>
      <c r="I23" s="120"/>
      <c r="J23" s="120"/>
      <c r="K23" s="65">
        <v>0</v>
      </c>
    </row>
    <row r="24" spans="2:11" s="115" customFormat="1" ht="25.15" hidden="1" customHeight="1" x14ac:dyDescent="0.25">
      <c r="C24" s="382" t="s">
        <v>192</v>
      </c>
      <c r="D24" s="383"/>
      <c r="E24" s="121">
        <v>41640</v>
      </c>
      <c r="F24" s="114">
        <v>41820</v>
      </c>
      <c r="G24" s="122"/>
      <c r="H24" s="120"/>
      <c r="I24" s="120"/>
      <c r="J24" s="120"/>
      <c r="K24" s="65">
        <v>0</v>
      </c>
    </row>
    <row r="25" spans="2:11" s="115" customFormat="1" ht="25.15" hidden="1" customHeight="1" x14ac:dyDescent="0.25">
      <c r="C25" s="384"/>
      <c r="D25" s="385"/>
      <c r="E25" s="118"/>
      <c r="F25" s="118"/>
      <c r="G25" s="122"/>
      <c r="H25" s="120"/>
      <c r="I25" s="120"/>
      <c r="J25" s="120"/>
      <c r="K25" s="65">
        <v>0</v>
      </c>
    </row>
    <row r="26" spans="2:11" s="115" customFormat="1" ht="25.15" hidden="1" customHeight="1" x14ac:dyDescent="0.25">
      <c r="C26" s="384"/>
      <c r="D26" s="385"/>
      <c r="E26" s="118"/>
      <c r="F26" s="118"/>
      <c r="G26" s="123"/>
      <c r="H26" s="124"/>
      <c r="I26" s="124"/>
      <c r="J26" s="124"/>
      <c r="K26" s="65">
        <v>0</v>
      </c>
    </row>
    <row r="27" spans="2:11" s="115" customFormat="1" ht="25.15" hidden="1" customHeight="1" x14ac:dyDescent="0.25">
      <c r="C27" s="391"/>
      <c r="D27" s="392"/>
      <c r="E27" s="125"/>
      <c r="F27" s="125"/>
      <c r="G27" s="126"/>
      <c r="H27" s="127"/>
      <c r="I27" s="127"/>
      <c r="J27" s="127"/>
      <c r="K27" s="65">
        <v>0</v>
      </c>
    </row>
    <row r="28" spans="2:11" s="115" customFormat="1" ht="25.15" customHeight="1" x14ac:dyDescent="0.25">
      <c r="C28" s="399"/>
      <c r="D28" s="399"/>
      <c r="E28" s="130"/>
      <c r="F28" s="130"/>
      <c r="G28" s="130"/>
      <c r="H28" s="131"/>
      <c r="I28" s="131"/>
      <c r="J28" s="131" t="s">
        <v>20</v>
      </c>
      <c r="K28" s="65">
        <f>SUM(K17:K21,K23:K27)</f>
        <v>0</v>
      </c>
    </row>
    <row r="29" spans="2:11" s="128" customFormat="1" ht="25.15" customHeight="1" x14ac:dyDescent="0.2">
      <c r="C29" s="400"/>
      <c r="D29" s="400"/>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80" t="s">
        <v>197</v>
      </c>
      <c r="C32" s="380"/>
      <c r="D32" s="380"/>
      <c r="E32" s="380"/>
      <c r="F32" s="380"/>
      <c r="G32" s="380"/>
      <c r="H32" s="380"/>
      <c r="I32" s="380"/>
      <c r="J32" s="380"/>
      <c r="K32" s="380"/>
    </row>
    <row r="72" ht="12.75" customHeight="1" x14ac:dyDescent="0.2"/>
    <row r="73" ht="12.75" customHeight="1" x14ac:dyDescent="0.2"/>
  </sheetData>
  <customSheetViews>
    <customSheetView guid="{CDDD1BF2-7147-4473-B186-680AA7EBC2A1}" scale="40" showGridLines="0" hiddenRows="1" state="hidden">
      <selection activeCell="A6" sqref="A6:XFD15"/>
      <pageMargins left="0.7" right="0.7" top="0.75" bottom="0.75" header="0.3" footer="0.3"/>
    </customSheetView>
    <customSheetView guid="{E4FCC8BB-C0B4-400B-AC63-5FBAF2D4221B}"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 guid="{FEF1506F-6F82-40B0-A457-59C910FA4B02}"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CDDD1BF2-7147-4473-B186-680AA7EBC2A1}" state="hidden">
      <pageMargins left="0.7" right="0.7" top="0.75" bottom="0.75" header="0.3" footer="0.3"/>
    </customSheetView>
    <customSheetView guid="{E4FCC8BB-C0B4-400B-AC63-5FBAF2D4221B}" state="hidden">
      <pageMargins left="0.7" right="0.7" top="0.75" bottom="0.75" header="0.3" footer="0.3"/>
    </customSheetView>
    <customSheetView guid="{A57ED495-A8F1-41AA-920B-D492B709C260}" state="hidden">
      <pageMargins left="0.7" right="0.7" top="0.75" bottom="0.75" header="0.3" footer="0.3"/>
    </customSheetView>
    <customSheetView guid="{FEF1506F-6F82-40B0-A457-59C910FA4B02}"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27" t="s">
        <v>34</v>
      </c>
      <c r="B2" s="427"/>
      <c r="C2" s="427" t="s">
        <v>35</v>
      </c>
      <c r="D2" s="427"/>
      <c r="E2" s="432" t="s">
        <v>36</v>
      </c>
      <c r="F2" s="433"/>
      <c r="G2" s="433"/>
      <c r="H2" s="433" t="s">
        <v>37</v>
      </c>
      <c r="I2" s="433"/>
    </row>
    <row r="3" spans="1:9" x14ac:dyDescent="0.25">
      <c r="A3" s="430"/>
      <c r="B3" s="430"/>
      <c r="C3" s="430"/>
      <c r="D3" s="430"/>
      <c r="E3" s="434"/>
      <c r="F3" s="434"/>
      <c r="G3" s="434"/>
      <c r="H3" s="431">
        <f>I45</f>
        <v>0</v>
      </c>
      <c r="I3" s="431"/>
    </row>
    <row r="4" spans="1:9" x14ac:dyDescent="0.25">
      <c r="A4" s="430"/>
      <c r="B4" s="430"/>
      <c r="C4" s="430"/>
      <c r="D4" s="430"/>
      <c r="E4" s="435"/>
      <c r="F4" s="430"/>
      <c r="G4" s="430"/>
      <c r="H4" s="431"/>
      <c r="I4" s="431"/>
    </row>
    <row r="5" spans="1:9" x14ac:dyDescent="0.25">
      <c r="A5" s="427" t="s">
        <v>39</v>
      </c>
      <c r="B5" s="427"/>
      <c r="C5" s="427" t="s">
        <v>40</v>
      </c>
      <c r="D5" s="427"/>
      <c r="E5" s="427" t="s">
        <v>41</v>
      </c>
      <c r="F5" s="427"/>
      <c r="G5" s="427"/>
      <c r="H5" s="427"/>
      <c r="I5" s="427"/>
    </row>
    <row r="6" spans="1:9" x14ac:dyDescent="0.25">
      <c r="A6" s="428"/>
      <c r="B6" s="429"/>
      <c r="C6" s="428"/>
      <c r="D6" s="429"/>
      <c r="E6" s="430"/>
      <c r="F6" s="430"/>
      <c r="G6" s="430"/>
      <c r="H6" s="431">
        <f>I70</f>
        <v>0</v>
      </c>
      <c r="I6" s="431"/>
    </row>
    <row r="7" spans="1:9" x14ac:dyDescent="0.25">
      <c r="A7" s="414" t="s">
        <v>43</v>
      </c>
      <c r="B7" s="415"/>
      <c r="C7" s="26"/>
      <c r="D7" s="26"/>
      <c r="E7" s="26"/>
      <c r="F7" s="26"/>
      <c r="G7" s="26"/>
      <c r="H7" s="26"/>
      <c r="I7" s="27"/>
    </row>
    <row r="8" spans="1:9" ht="52.35" customHeight="1" x14ac:dyDescent="0.25">
      <c r="A8" s="416"/>
      <c r="B8" s="417"/>
      <c r="C8" s="417"/>
      <c r="D8" s="417"/>
      <c r="E8" s="417"/>
      <c r="F8" s="417"/>
      <c r="G8" s="417"/>
      <c r="H8" s="417"/>
      <c r="I8" s="418"/>
    </row>
    <row r="9" spans="1:9" x14ac:dyDescent="0.25">
      <c r="A9" s="419" t="s">
        <v>44</v>
      </c>
      <c r="B9" s="420"/>
      <c r="C9" s="420"/>
      <c r="D9" s="28"/>
      <c r="E9" s="29"/>
      <c r="F9" s="29"/>
      <c r="G9" s="29"/>
      <c r="H9" s="29"/>
      <c r="I9" s="30"/>
    </row>
    <row r="10" spans="1:9" x14ac:dyDescent="0.25">
      <c r="A10" s="421" t="s">
        <v>45</v>
      </c>
      <c r="B10" s="422"/>
      <c r="C10" s="422"/>
      <c r="D10" s="422"/>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3"/>
      <c r="B14" s="424"/>
      <c r="C14" s="424"/>
      <c r="D14" s="424"/>
      <c r="E14" s="424"/>
      <c r="F14" s="424"/>
      <c r="G14" s="424"/>
      <c r="H14" s="424"/>
      <c r="I14" s="425"/>
    </row>
    <row r="15" spans="1:9" ht="16.5" x14ac:dyDescent="0.25">
      <c r="A15" s="34"/>
      <c r="B15" s="34"/>
      <c r="C15" s="34"/>
      <c r="D15" s="34"/>
      <c r="E15" s="34"/>
      <c r="F15" s="34"/>
      <c r="G15" s="34"/>
      <c r="H15" s="34"/>
      <c r="I15" s="34"/>
    </row>
    <row r="16" spans="1:9" ht="31.35" customHeight="1" x14ac:dyDescent="0.25">
      <c r="A16" s="413" t="s">
        <v>47</v>
      </c>
      <c r="B16" s="413"/>
      <c r="C16" s="413"/>
      <c r="D16" s="413"/>
      <c r="E16" s="413"/>
      <c r="F16" s="413"/>
      <c r="G16" s="413"/>
      <c r="H16" s="413"/>
      <c r="I16" s="413"/>
    </row>
    <row r="17" spans="1:9" ht="16.5" x14ac:dyDescent="0.25">
      <c r="A17" s="34"/>
      <c r="B17" s="34"/>
      <c r="C17" s="34"/>
      <c r="D17" s="34"/>
      <c r="E17" s="34"/>
      <c r="F17" s="34"/>
      <c r="G17" s="34"/>
      <c r="H17" s="34"/>
      <c r="I17" s="34"/>
    </row>
    <row r="18" spans="1:9" ht="39.75" customHeight="1" x14ac:dyDescent="0.25">
      <c r="A18" s="410"/>
      <c r="B18" s="411"/>
      <c r="C18" s="411"/>
      <c r="D18" s="411"/>
      <c r="E18" s="411"/>
      <c r="F18" s="411"/>
      <c r="G18" s="411"/>
      <c r="H18" s="411"/>
      <c r="I18" s="412"/>
    </row>
    <row r="19" spans="1:9" ht="8.1" customHeight="1" x14ac:dyDescent="0.25">
      <c r="A19" s="34"/>
      <c r="B19" s="34"/>
      <c r="C19" s="34"/>
      <c r="D19" s="34"/>
      <c r="E19" s="34"/>
      <c r="F19" s="34"/>
      <c r="G19" s="34"/>
      <c r="H19" s="34"/>
      <c r="I19" s="34"/>
    </row>
    <row r="20" spans="1:9" ht="15" customHeight="1" x14ac:dyDescent="0.25">
      <c r="A20" s="413" t="s">
        <v>48</v>
      </c>
      <c r="B20" s="413"/>
      <c r="C20" s="413"/>
      <c r="D20" s="413"/>
      <c r="E20" s="413"/>
      <c r="F20" s="413"/>
      <c r="G20" s="413"/>
      <c r="H20" s="413"/>
      <c r="I20" s="413"/>
    </row>
    <row r="21" spans="1:9" ht="16.5" x14ac:dyDescent="0.25">
      <c r="A21" s="34"/>
      <c r="B21" s="34"/>
      <c r="C21" s="34"/>
      <c r="D21" s="34"/>
      <c r="E21" s="34"/>
      <c r="F21" s="34"/>
      <c r="G21" s="34"/>
      <c r="H21" s="34"/>
      <c r="I21" s="34"/>
    </row>
    <row r="22" spans="1:9" ht="33" customHeight="1" x14ac:dyDescent="0.25">
      <c r="A22" s="410"/>
      <c r="B22" s="411"/>
      <c r="C22" s="411"/>
      <c r="D22" s="411"/>
      <c r="E22" s="411"/>
      <c r="F22" s="411"/>
      <c r="G22" s="411"/>
      <c r="H22" s="411"/>
      <c r="I22" s="412"/>
    </row>
    <row r="23" spans="1:9" x14ac:dyDescent="0.25">
      <c r="A23" s="426" t="s">
        <v>49</v>
      </c>
      <c r="B23" s="426"/>
      <c r="C23" s="426"/>
      <c r="D23" s="426"/>
      <c r="E23" s="426"/>
      <c r="F23" s="426"/>
      <c r="G23" s="426"/>
      <c r="H23" s="426"/>
      <c r="I23" s="426"/>
    </row>
    <row r="24" spans="1:9" x14ac:dyDescent="0.25">
      <c r="A24" s="413"/>
      <c r="B24" s="413"/>
      <c r="C24" s="413"/>
      <c r="D24" s="413"/>
      <c r="E24" s="413"/>
      <c r="F24" s="413"/>
      <c r="G24" s="413"/>
      <c r="H24" s="413"/>
      <c r="I24" s="413"/>
    </row>
    <row r="25" spans="1:9" ht="16.5" x14ac:dyDescent="0.25">
      <c r="A25" s="34"/>
      <c r="B25" s="34"/>
      <c r="C25" s="34"/>
      <c r="D25" s="34"/>
      <c r="E25" s="34"/>
      <c r="F25" s="34"/>
      <c r="G25" s="34"/>
      <c r="H25" s="34"/>
      <c r="I25" s="34"/>
    </row>
    <row r="26" spans="1:9" ht="31.35" customHeight="1" x14ac:dyDescent="0.25">
      <c r="A26" s="410"/>
      <c r="B26" s="411"/>
      <c r="C26" s="411"/>
      <c r="D26" s="411"/>
      <c r="E26" s="411"/>
      <c r="F26" s="411"/>
      <c r="G26" s="411"/>
      <c r="H26" s="411"/>
      <c r="I26" s="412"/>
    </row>
    <row r="27" spans="1:9" ht="16.5" x14ac:dyDescent="0.25">
      <c r="A27" s="34"/>
      <c r="B27" s="34"/>
      <c r="C27" s="34"/>
      <c r="D27" s="34"/>
      <c r="E27" s="34"/>
      <c r="F27" s="34"/>
      <c r="G27" s="34"/>
      <c r="H27" s="34"/>
      <c r="I27" s="34"/>
    </row>
    <row r="28" spans="1:9" ht="16.5" x14ac:dyDescent="0.25">
      <c r="A28" s="413" t="s">
        <v>50</v>
      </c>
      <c r="B28" s="413"/>
      <c r="C28" s="413"/>
      <c r="D28" s="413"/>
      <c r="E28" s="413"/>
      <c r="F28" s="413"/>
      <c r="G28" s="413"/>
      <c r="H28" s="413"/>
      <c r="I28" s="413"/>
    </row>
    <row r="29" spans="1:9" ht="16.5" x14ac:dyDescent="0.25">
      <c r="A29" s="34"/>
      <c r="B29" s="34"/>
      <c r="C29" s="34"/>
      <c r="D29" s="34"/>
      <c r="E29" s="34"/>
      <c r="F29" s="34"/>
      <c r="G29" s="34"/>
      <c r="H29" s="34"/>
      <c r="I29" s="34"/>
    </row>
    <row r="30" spans="1:9" ht="16.5" x14ac:dyDescent="0.25">
      <c r="A30" s="410"/>
      <c r="B30" s="411"/>
      <c r="C30" s="411"/>
      <c r="D30" s="411"/>
      <c r="E30" s="411"/>
      <c r="F30" s="411"/>
      <c r="G30" s="411"/>
      <c r="H30" s="411"/>
      <c r="I30" s="412"/>
    </row>
    <row r="31" spans="1:9" ht="16.5" x14ac:dyDescent="0.25">
      <c r="A31" s="34"/>
      <c r="B31" s="34"/>
      <c r="C31" s="34"/>
      <c r="D31" s="34"/>
      <c r="E31" s="34"/>
      <c r="F31" s="34"/>
      <c r="G31" s="34"/>
      <c r="H31" s="34"/>
      <c r="I31" s="34"/>
    </row>
    <row r="32" spans="1:9" ht="47.45" customHeight="1" x14ac:dyDescent="0.25">
      <c r="A32" s="413" t="s">
        <v>51</v>
      </c>
      <c r="B32" s="413"/>
      <c r="C32" s="413"/>
      <c r="D32" s="413"/>
      <c r="E32" s="413"/>
      <c r="F32" s="413"/>
      <c r="G32" s="413"/>
      <c r="H32" s="413"/>
      <c r="I32" s="413"/>
    </row>
    <row r="33" spans="1:9" ht="16.5" x14ac:dyDescent="0.25">
      <c r="A33" s="34"/>
      <c r="B33" s="34"/>
      <c r="C33" s="34"/>
      <c r="D33" s="34"/>
      <c r="E33" s="34"/>
      <c r="F33" s="34"/>
      <c r="G33" s="34"/>
      <c r="H33" s="34"/>
      <c r="I33" s="34"/>
    </row>
    <row r="34" spans="1:9" ht="33" customHeight="1" x14ac:dyDescent="0.25">
      <c r="A34" s="410"/>
      <c r="B34" s="411"/>
      <c r="C34" s="411"/>
      <c r="D34" s="411"/>
      <c r="E34" s="411"/>
      <c r="F34" s="411"/>
      <c r="G34" s="411"/>
      <c r="H34" s="411"/>
      <c r="I34" s="412"/>
    </row>
    <row r="37" spans="1:9" x14ac:dyDescent="0.25">
      <c r="A37" s="406" t="s">
        <v>12</v>
      </c>
      <c r="B37" s="406"/>
      <c r="C37" s="406"/>
      <c r="D37" s="406"/>
      <c r="E37" s="406"/>
      <c r="F37" s="406"/>
      <c r="G37" s="406"/>
      <c r="H37" s="406"/>
      <c r="I37" s="406"/>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06" t="s">
        <v>4</v>
      </c>
      <c r="B49" s="406"/>
      <c r="C49" s="406"/>
      <c r="D49" s="406"/>
      <c r="E49" s="406"/>
      <c r="F49" s="406"/>
      <c r="G49" s="406"/>
      <c r="H49" s="406"/>
      <c r="I49" s="406"/>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06" t="s">
        <v>42</v>
      </c>
      <c r="B62" s="406"/>
      <c r="C62" s="406"/>
      <c r="D62" s="406"/>
      <c r="E62" s="406"/>
      <c r="F62" s="406"/>
      <c r="G62" s="406"/>
      <c r="H62" s="406"/>
      <c r="I62" s="406"/>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06" t="s">
        <v>52</v>
      </c>
      <c r="B74" s="406"/>
      <c r="C74" s="406"/>
      <c r="D74" s="406"/>
      <c r="E74" s="406"/>
      <c r="F74" s="406"/>
      <c r="G74" s="406"/>
      <c r="H74" s="406"/>
      <c r="I74" s="406"/>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07"/>
      <c r="B91" s="408"/>
      <c r="C91" s="408"/>
      <c r="D91" s="408"/>
      <c r="E91" s="408"/>
      <c r="F91" s="408"/>
      <c r="G91" s="408"/>
      <c r="H91" s="409"/>
    </row>
    <row r="93" spans="1:9" ht="59.1" customHeight="1" x14ac:dyDescent="0.25">
      <c r="A93" s="407"/>
      <c r="B93" s="408"/>
      <c r="C93" s="408"/>
      <c r="D93" s="408"/>
      <c r="E93" s="408"/>
      <c r="F93" s="408"/>
      <c r="G93" s="408"/>
      <c r="H93" s="409"/>
    </row>
  </sheetData>
  <customSheetViews>
    <customSheetView guid="{CDDD1BF2-7147-4473-B186-680AA7EBC2A1}"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E4FCC8BB-C0B4-400B-AC63-5FBAF2D4221B}"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3"/>
      <headerFooter>
        <oddHeader xml:space="preserve">&amp;C&amp;14Wake Transit Plan
Project Request Form </oddHeader>
      </headerFooter>
    </customSheetView>
    <customSheetView guid="{FEF1506F-6F82-40B0-A457-59C910FA4B02}" state="hidden" topLeftCell="A53">
      <selection activeCell="A9" sqref="A9:I9"/>
      <rowBreaks count="2" manualBreakCount="2">
        <brk id="35" max="16383" man="1"/>
        <brk id="86" max="16383" man="1"/>
      </rowBreaks>
      <pageMargins left="0.7" right="0.7" top="0.75" bottom="0.75" header="0.3" footer="0.3"/>
      <pageSetup scale="80" orientation="portrait" verticalDpi="0" r:id="rId4"/>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5"/>
  <headerFooter>
    <oddHeader xml:space="preserve">&amp;C&amp;14Wake Transit Plan
Project Request Form </oddHeader>
  </headerFooter>
  <rowBreaks count="2" manualBreakCount="2">
    <brk id="35" max="16383" man="1"/>
    <brk id="86" max="16383" man="1"/>
  </rowBreaks>
  <legacy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727175-DC47-4240-9783-CA35FAB50E7A}">
  <ds:schemaRefs>
    <ds:schemaRef ds:uri="http://www.w3.org/XML/1998/namespace"/>
    <ds:schemaRef ds:uri="http://purl.org/dc/elements/1.1/"/>
    <ds:schemaRef ds:uri="http://purl.org/dc/terms/"/>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5A5268D-D82E-4CFE-B074-0AF18843E4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Lenovo User</cp:lastModifiedBy>
  <cp:lastPrinted>2017-11-15T17:30:08Z</cp:lastPrinted>
  <dcterms:created xsi:type="dcterms:W3CDTF">2017-01-26T15:15:03Z</dcterms:created>
  <dcterms:modified xsi:type="dcterms:W3CDTF">2018-03-17T14:35:51Z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